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2\AreaDati\CONDIVISIONE DATI\16.COLLU STEFANO\Amministrazione trasparente\PERFORMANCE\2026\Piano della performance\PIAO 2025 - 2027\"/>
    </mc:Choice>
  </mc:AlternateContent>
  <xr:revisionPtr revIDLastSave="0" documentId="8_{E23EB230-C46A-4E02-9B2C-A146EC7817D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LCOLO LIMITI DI SPESA" sheetId="10" r:id="rId1"/>
    <sheet name="DOTAZIONE ORGANICA" sheetId="28" state="hidden" r:id="rId2"/>
    <sheet name="CALCOLO SPESA PERSONALE 2025" sheetId="33" r:id="rId3"/>
    <sheet name="CALCOLO SPESA PERSONALE 2026" sheetId="20" r:id="rId4"/>
    <sheet name="CALCOLO SPESA PERSONALE 2027" sheetId="31" r:id="rId5"/>
    <sheet name="2024-2025 (A)" sheetId="9" state="hidden" r:id="rId6"/>
    <sheet name="2023 -2025 (B)" sheetId="16" state="hidden" r:id="rId7"/>
    <sheet name="2023 -2025 (C)" sheetId="17" state="hidden" r:id="rId8"/>
    <sheet name="2024-2025 (B)" sheetId="29" state="hidden" r:id="rId9"/>
    <sheet name="2024-2025 (C)" sheetId="30" state="hidden" r:id="rId10"/>
    <sheet name="TABELLARI" sheetId="15" state="hidden" r:id="rId11"/>
  </sheets>
  <definedNames>
    <definedName name="_xlnm.Print_Area" localSheetId="6">'2023 -2025 (B)'!$A$1:$Q$27</definedName>
    <definedName name="_xlnm.Print_Area" localSheetId="7">'2023 -2025 (C)'!$A$1:$Q$29</definedName>
    <definedName name="_xlnm.Print_Area" localSheetId="5">'2024-2025 (A)'!$A$1:$Q$24</definedName>
    <definedName name="_xlnm.Print_Area" localSheetId="8">'2024-2025 (B)'!$A$1:$Q$24</definedName>
    <definedName name="_xlnm.Print_Area" localSheetId="9">'2024-2025 (C)'!$A$1:$Q$24</definedName>
    <definedName name="_xlnm.Print_Area" localSheetId="0">'CALCOLO LIMITI DI SPESA'!$A$1:$P$72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33" l="1"/>
  <c r="Q14" i="31"/>
  <c r="K3" i="31"/>
  <c r="P14" i="20"/>
  <c r="P13" i="20"/>
  <c r="Q14" i="20"/>
  <c r="P34" i="31"/>
  <c r="P36" i="31"/>
  <c r="P13" i="31"/>
  <c r="P14" i="31"/>
  <c r="N4" i="31"/>
  <c r="N5" i="31"/>
  <c r="N6" i="31"/>
  <c r="N7" i="31"/>
  <c r="N8" i="31"/>
  <c r="N9" i="31"/>
  <c r="N11" i="31"/>
  <c r="N12" i="31"/>
  <c r="N3" i="31"/>
  <c r="M4" i="31"/>
  <c r="M5" i="31"/>
  <c r="M6" i="31"/>
  <c r="M7" i="31"/>
  <c r="M8" i="31"/>
  <c r="M9" i="31"/>
  <c r="M11" i="31"/>
  <c r="P11" i="31" s="1"/>
  <c r="M12" i="31"/>
  <c r="P12" i="31" s="1"/>
  <c r="M3" i="31"/>
  <c r="L4" i="31"/>
  <c r="L5" i="31"/>
  <c r="L6" i="31"/>
  <c r="L7" i="31"/>
  <c r="L8" i="31"/>
  <c r="L9" i="31"/>
  <c r="L11" i="31"/>
  <c r="L12" i="31"/>
  <c r="L13" i="31"/>
  <c r="L3" i="31"/>
  <c r="K4" i="31"/>
  <c r="K5" i="31"/>
  <c r="K6" i="31"/>
  <c r="K7" i="31"/>
  <c r="K8" i="31"/>
  <c r="K9" i="31"/>
  <c r="K11" i="31"/>
  <c r="Q11" i="31" s="1"/>
  <c r="K12" i="31"/>
  <c r="Q12" i="31" s="1"/>
  <c r="K13" i="31"/>
  <c r="Q13" i="31" s="1"/>
  <c r="N4" i="20"/>
  <c r="N5" i="20"/>
  <c r="N6" i="20"/>
  <c r="N7" i="20"/>
  <c r="N8" i="20"/>
  <c r="N9" i="20"/>
  <c r="N11" i="20"/>
  <c r="N12" i="20"/>
  <c r="N3" i="20"/>
  <c r="M4" i="20"/>
  <c r="M5" i="20"/>
  <c r="M6" i="20"/>
  <c r="M7" i="20"/>
  <c r="M8" i="20"/>
  <c r="M9" i="20"/>
  <c r="M11" i="20"/>
  <c r="P11" i="20" s="1"/>
  <c r="M12" i="20"/>
  <c r="P12" i="20" s="1"/>
  <c r="M3" i="20"/>
  <c r="L4" i="20"/>
  <c r="L5" i="20"/>
  <c r="L6" i="20"/>
  <c r="L7" i="20"/>
  <c r="L8" i="20"/>
  <c r="L9" i="20"/>
  <c r="L11" i="20"/>
  <c r="L12" i="20"/>
  <c r="L13" i="20"/>
  <c r="L3" i="20"/>
  <c r="K4" i="20"/>
  <c r="K5" i="20"/>
  <c r="K6" i="20"/>
  <c r="K7" i="20"/>
  <c r="K8" i="20"/>
  <c r="K9" i="20"/>
  <c r="K11" i="20"/>
  <c r="Q11" i="20" s="1"/>
  <c r="K12" i="20"/>
  <c r="Q12" i="20" s="1"/>
  <c r="K13" i="20"/>
  <c r="Q13" i="20" s="1"/>
  <c r="K3" i="20"/>
  <c r="P27" i="33"/>
  <c r="P26" i="33"/>
  <c r="O27" i="33"/>
  <c r="O26" i="33"/>
  <c r="M27" i="33"/>
  <c r="M26" i="33"/>
  <c r="L27" i="33"/>
  <c r="L26" i="33"/>
  <c r="K27" i="33"/>
  <c r="K26" i="33"/>
  <c r="J27" i="33"/>
  <c r="J26" i="33"/>
  <c r="P10" i="33"/>
  <c r="P11" i="33"/>
  <c r="O13" i="33"/>
  <c r="M11" i="33"/>
  <c r="M4" i="33"/>
  <c r="M5" i="33"/>
  <c r="M6" i="33"/>
  <c r="M7" i="33"/>
  <c r="P7" i="33" s="1"/>
  <c r="M8" i="33"/>
  <c r="P8" i="33" s="1"/>
  <c r="M9" i="33"/>
  <c r="P9" i="33" s="1"/>
  <c r="M3" i="33"/>
  <c r="P3" i="33" s="1"/>
  <c r="L4" i="33"/>
  <c r="O4" i="33" s="1"/>
  <c r="L5" i="33"/>
  <c r="O5" i="33" s="1"/>
  <c r="L6" i="33"/>
  <c r="O6" i="33" s="1"/>
  <c r="L7" i="33"/>
  <c r="O7" i="33" s="1"/>
  <c r="L8" i="33"/>
  <c r="L9" i="33"/>
  <c r="L10" i="33"/>
  <c r="L11" i="33"/>
  <c r="L3" i="33"/>
  <c r="K4" i="33"/>
  <c r="K5" i="33"/>
  <c r="K6" i="33"/>
  <c r="K7" i="33"/>
  <c r="K8" i="33"/>
  <c r="O8" i="33" s="1"/>
  <c r="K9" i="33"/>
  <c r="O9" i="33" s="1"/>
  <c r="K10" i="33"/>
  <c r="K11" i="33"/>
  <c r="O11" i="33" s="1"/>
  <c r="K12" i="33"/>
  <c r="P12" i="33" s="1"/>
  <c r="K3" i="33"/>
  <c r="O3" i="33" s="1"/>
  <c r="J4" i="33"/>
  <c r="P4" i="33" s="1"/>
  <c r="J5" i="33"/>
  <c r="P5" i="33" s="1"/>
  <c r="J6" i="33"/>
  <c r="P6" i="33" s="1"/>
  <c r="J7" i="33"/>
  <c r="J8" i="33"/>
  <c r="J9" i="33"/>
  <c r="J10" i="33"/>
  <c r="J11" i="33"/>
  <c r="J12" i="33"/>
  <c r="J3" i="33"/>
  <c r="C11" i="10"/>
  <c r="O10" i="33" l="1"/>
  <c r="O16" i="33" s="1"/>
  <c r="P16" i="33"/>
  <c r="O12" i="33"/>
  <c r="P28" i="33"/>
  <c r="O28" i="33" l="1"/>
  <c r="O33" i="33" s="1"/>
  <c r="O35" i="33" s="1"/>
  <c r="O20" i="33" l="1"/>
  <c r="O22" i="33" s="1"/>
  <c r="O9" i="31"/>
  <c r="O8" i="31"/>
  <c r="O7" i="31"/>
  <c r="O6" i="31"/>
  <c r="O5" i="31"/>
  <c r="O4" i="31"/>
  <c r="O3" i="31"/>
  <c r="G27" i="20"/>
  <c r="M27" i="20" l="1"/>
  <c r="L27" i="20"/>
  <c r="P27" i="20" s="1"/>
  <c r="P30" i="20" s="1"/>
  <c r="K27" i="20"/>
  <c r="Q27" i="20" s="1"/>
  <c r="Q30" i="20" s="1"/>
  <c r="N27" i="20"/>
  <c r="Q4" i="31"/>
  <c r="P4" i="31"/>
  <c r="P6" i="31"/>
  <c r="Q6" i="31"/>
  <c r="P9" i="31"/>
  <c r="Q9" i="31"/>
  <c r="Q3" i="31"/>
  <c r="Q17" i="31" s="1"/>
  <c r="P3" i="31"/>
  <c r="P5" i="31"/>
  <c r="Q5" i="31"/>
  <c r="Q7" i="31"/>
  <c r="P7" i="31"/>
  <c r="P8" i="31"/>
  <c r="Q8" i="31"/>
  <c r="P17" i="31" l="1"/>
  <c r="P21" i="31" s="1"/>
  <c r="E5" i="10"/>
  <c r="D5" i="10" l="1"/>
  <c r="C5" i="10"/>
  <c r="E40" i="10"/>
  <c r="F40" i="10" s="1"/>
  <c r="O4" i="20"/>
  <c r="P4" i="20" l="1"/>
  <c r="Q4" i="20"/>
  <c r="N7" i="15"/>
  <c r="D32" i="15"/>
  <c r="K6" i="15"/>
  <c r="K32" i="15"/>
  <c r="E28" i="10" l="1"/>
  <c r="P14" i="30"/>
  <c r="O14" i="30"/>
  <c r="P13" i="30"/>
  <c r="O13" i="30"/>
  <c r="P12" i="30"/>
  <c r="O12" i="30"/>
  <c r="L11" i="30"/>
  <c r="K11" i="30"/>
  <c r="J11" i="30"/>
  <c r="N9" i="30"/>
  <c r="L9" i="30"/>
  <c r="N8" i="30"/>
  <c r="L8" i="30"/>
  <c r="N7" i="30"/>
  <c r="N6" i="30"/>
  <c r="N5" i="30"/>
  <c r="N4" i="30"/>
  <c r="N3" i="30"/>
  <c r="P14" i="29"/>
  <c r="O14" i="29"/>
  <c r="P13" i="29"/>
  <c r="O13" i="29"/>
  <c r="P12" i="29"/>
  <c r="O12" i="29"/>
  <c r="L11" i="29"/>
  <c r="K11" i="29"/>
  <c r="J11" i="29"/>
  <c r="N9" i="29"/>
  <c r="L9" i="29"/>
  <c r="N8" i="29"/>
  <c r="L8" i="29"/>
  <c r="N7" i="29"/>
  <c r="N6" i="29"/>
  <c r="N5" i="29"/>
  <c r="N4" i="29"/>
  <c r="N3" i="29"/>
  <c r="P14" i="9"/>
  <c r="O14" i="9"/>
  <c r="P13" i="9"/>
  <c r="O13" i="9"/>
  <c r="P12" i="9"/>
  <c r="O12" i="9"/>
  <c r="L11" i="9"/>
  <c r="K11" i="9"/>
  <c r="J11" i="9"/>
  <c r="N9" i="9"/>
  <c r="L9" i="9"/>
  <c r="N8" i="9"/>
  <c r="L8" i="9"/>
  <c r="N7" i="9"/>
  <c r="N6" i="9"/>
  <c r="N5" i="9"/>
  <c r="N4" i="9"/>
  <c r="N3" i="9"/>
  <c r="O9" i="20"/>
  <c r="I53" i="15"/>
  <c r="E53" i="15"/>
  <c r="K4" i="15"/>
  <c r="V14" i="28"/>
  <c r="V13" i="28"/>
  <c r="V12" i="28"/>
  <c r="T11" i="28"/>
  <c r="S11" i="28"/>
  <c r="R11" i="28"/>
  <c r="P11" i="28"/>
  <c r="Q11" i="28" s="1"/>
  <c r="T10" i="28"/>
  <c r="S10" i="28"/>
  <c r="R10" i="28"/>
  <c r="P10" i="28"/>
  <c r="Q10" i="28" s="1"/>
  <c r="O9" i="28"/>
  <c r="L9" i="28"/>
  <c r="J9" i="28"/>
  <c r="K9" i="28" s="1"/>
  <c r="O8" i="28"/>
  <c r="L8" i="28"/>
  <c r="J8" i="28"/>
  <c r="K8" i="28" s="1"/>
  <c r="O7" i="28"/>
  <c r="L7" i="28"/>
  <c r="J7" i="28"/>
  <c r="K7" i="28" s="1"/>
  <c r="O6" i="28"/>
  <c r="L6" i="28"/>
  <c r="J6" i="28"/>
  <c r="K6" i="28" s="1"/>
  <c r="O5" i="28"/>
  <c r="L5" i="28"/>
  <c r="J5" i="28"/>
  <c r="K5" i="28" s="1"/>
  <c r="O4" i="28"/>
  <c r="L4" i="28"/>
  <c r="J4" i="28"/>
  <c r="K4" i="28" s="1"/>
  <c r="O2" i="28"/>
  <c r="L2" i="28"/>
  <c r="J2" i="28"/>
  <c r="K2" i="28" s="1"/>
  <c r="P9" i="20" l="1"/>
  <c r="Q9" i="20"/>
  <c r="P11" i="29"/>
  <c r="P11" i="30"/>
  <c r="K53" i="15"/>
  <c r="D53" i="15"/>
  <c r="O11" i="29"/>
  <c r="O11" i="9"/>
  <c r="O11" i="30"/>
  <c r="P11" i="9"/>
  <c r="V10" i="28"/>
  <c r="T6" i="28"/>
  <c r="T7" i="28"/>
  <c r="T9" i="28"/>
  <c r="T4" i="28"/>
  <c r="S2" i="28"/>
  <c r="R2" i="28"/>
  <c r="P2" i="28"/>
  <c r="Q2" i="28" s="1"/>
  <c r="R8" i="28"/>
  <c r="P8" i="28"/>
  <c r="Q8" i="28" s="1"/>
  <c r="T8" i="28"/>
  <c r="S8" i="28"/>
  <c r="P5" i="28"/>
  <c r="Q5" i="28" s="1"/>
  <c r="S5" i="28"/>
  <c r="R5" i="28"/>
  <c r="T5" i="28"/>
  <c r="T2" i="28"/>
  <c r="S6" i="28"/>
  <c r="R6" i="28"/>
  <c r="P6" i="28"/>
  <c r="Q6" i="28" s="1"/>
  <c r="V11" i="28"/>
  <c r="R4" i="28"/>
  <c r="S4" i="28"/>
  <c r="P4" i="28"/>
  <c r="Q4" i="28" s="1"/>
  <c r="S9" i="28"/>
  <c r="R9" i="28"/>
  <c r="P9" i="28"/>
  <c r="Q9" i="28" s="1"/>
  <c r="R7" i="28"/>
  <c r="S7" i="28"/>
  <c r="P7" i="28"/>
  <c r="Q7" i="28" s="1"/>
  <c r="I9" i="9" l="1"/>
  <c r="I9" i="29"/>
  <c r="I9" i="30"/>
  <c r="K9" i="9"/>
  <c r="M9" i="29"/>
  <c r="K9" i="29"/>
  <c r="J9" i="29"/>
  <c r="V7" i="28"/>
  <c r="V4" i="28"/>
  <c r="V6" i="28"/>
  <c r="V9" i="28"/>
  <c r="V8" i="28"/>
  <c r="V2" i="28"/>
  <c r="V5" i="28"/>
  <c r="M9" i="30" l="1"/>
  <c r="K9" i="30"/>
  <c r="J9" i="30"/>
  <c r="J9" i="9"/>
  <c r="M9" i="9"/>
  <c r="P9" i="9" s="1"/>
  <c r="P9" i="29"/>
  <c r="O9" i="29"/>
  <c r="V15" i="28"/>
  <c r="V16" i="28" s="1"/>
  <c r="O9" i="9" l="1"/>
  <c r="P9" i="30"/>
  <c r="O9" i="30"/>
  <c r="P33" i="20"/>
  <c r="I69" i="15" l="1"/>
  <c r="E69" i="15"/>
  <c r="I68" i="15"/>
  <c r="E68" i="15"/>
  <c r="I67" i="15"/>
  <c r="E67" i="15"/>
  <c r="I66" i="15"/>
  <c r="E66" i="15"/>
  <c r="E65" i="15"/>
  <c r="I64" i="15"/>
  <c r="E64" i="15"/>
  <c r="I63" i="15"/>
  <c r="E63" i="15"/>
  <c r="I62" i="15"/>
  <c r="E62" i="15"/>
  <c r="I61" i="15"/>
  <c r="E61" i="15"/>
  <c r="I60" i="15"/>
  <c r="E60" i="15"/>
  <c r="I59" i="15"/>
  <c r="E59" i="15"/>
  <c r="I58" i="15"/>
  <c r="E58" i="15"/>
  <c r="I57" i="15"/>
  <c r="E57" i="15"/>
  <c r="I56" i="15"/>
  <c r="E56" i="15"/>
  <c r="I55" i="15"/>
  <c r="E55" i="15"/>
  <c r="I54" i="15"/>
  <c r="E54" i="15"/>
  <c r="D65" i="15"/>
  <c r="D64" i="15"/>
  <c r="D62" i="15"/>
  <c r="K38" i="15"/>
  <c r="D57" i="15"/>
  <c r="D55" i="15"/>
  <c r="K22" i="15"/>
  <c r="K21" i="15"/>
  <c r="K20" i="15"/>
  <c r="K19" i="15"/>
  <c r="I18" i="15"/>
  <c r="I65" i="15" s="1"/>
  <c r="H18" i="15"/>
  <c r="K17" i="15"/>
  <c r="K16" i="15"/>
  <c r="K15" i="15"/>
  <c r="K14" i="15"/>
  <c r="K13" i="15"/>
  <c r="K12" i="15"/>
  <c r="K11" i="15"/>
  <c r="K10" i="15"/>
  <c r="K9" i="15"/>
  <c r="K8" i="15"/>
  <c r="K7" i="15"/>
  <c r="K5" i="15"/>
  <c r="I8" i="29" l="1"/>
  <c r="I5" i="29"/>
  <c r="I5" i="9"/>
  <c r="I5" i="30"/>
  <c r="I8" i="9"/>
  <c r="I8" i="30"/>
  <c r="K58" i="15"/>
  <c r="K66" i="15"/>
  <c r="K60" i="15"/>
  <c r="D59" i="15"/>
  <c r="K61" i="15"/>
  <c r="K67" i="15"/>
  <c r="D60" i="15"/>
  <c r="K68" i="15"/>
  <c r="K59" i="15"/>
  <c r="K43" i="15"/>
  <c r="K64" i="15" s="1"/>
  <c r="D68" i="15"/>
  <c r="D54" i="15"/>
  <c r="K54" i="15"/>
  <c r="K56" i="15"/>
  <c r="D67" i="15"/>
  <c r="K63" i="15"/>
  <c r="D66" i="15"/>
  <c r="K69" i="15"/>
  <c r="D58" i="15"/>
  <c r="K55" i="15"/>
  <c r="K62" i="15"/>
  <c r="D63" i="15"/>
  <c r="D56" i="15"/>
  <c r="K18" i="15"/>
  <c r="D61" i="15"/>
  <c r="D69" i="15"/>
  <c r="K57" i="15" l="1"/>
  <c r="I10" i="9"/>
  <c r="I10" i="29"/>
  <c r="I10" i="30"/>
  <c r="K8" i="30"/>
  <c r="M8" i="30"/>
  <c r="J8" i="30"/>
  <c r="P8" i="30" s="1"/>
  <c r="L5" i="30"/>
  <c r="K5" i="30"/>
  <c r="J5" i="30"/>
  <c r="M5" i="30"/>
  <c r="M8" i="9"/>
  <c r="J8" i="9"/>
  <c r="K8" i="9"/>
  <c r="L5" i="9"/>
  <c r="M5" i="9"/>
  <c r="J5" i="9"/>
  <c r="K5" i="9"/>
  <c r="L5" i="29"/>
  <c r="K5" i="29"/>
  <c r="M5" i="29"/>
  <c r="J5" i="29"/>
  <c r="I3" i="30"/>
  <c r="I7" i="29"/>
  <c r="I4" i="29"/>
  <c r="I7" i="9"/>
  <c r="I3" i="9"/>
  <c r="I6" i="30"/>
  <c r="I6" i="9"/>
  <c r="I4" i="30"/>
  <c r="I7" i="30"/>
  <c r="I6" i="29"/>
  <c r="I3" i="29"/>
  <c r="I4" i="9"/>
  <c r="K8" i="29"/>
  <c r="M8" i="29"/>
  <c r="O8" i="29" s="1"/>
  <c r="J8" i="29"/>
  <c r="K65" i="15"/>
  <c r="O5" i="9" l="1"/>
  <c r="O8" i="9"/>
  <c r="P8" i="29"/>
  <c r="P5" i="9"/>
  <c r="P8" i="9"/>
  <c r="P5" i="30"/>
  <c r="O8" i="30"/>
  <c r="P5" i="29"/>
  <c r="L7" i="9"/>
  <c r="K7" i="9"/>
  <c r="J7" i="9"/>
  <c r="M7" i="9"/>
  <c r="L7" i="30"/>
  <c r="K7" i="30"/>
  <c r="J7" i="30"/>
  <c r="M7" i="30"/>
  <c r="K10" i="30"/>
  <c r="M10" i="30"/>
  <c r="L10" i="30"/>
  <c r="J10" i="30"/>
  <c r="M3" i="29"/>
  <c r="L3" i="29"/>
  <c r="K3" i="29"/>
  <c r="J3" i="29"/>
  <c r="K4" i="29"/>
  <c r="J4" i="29"/>
  <c r="M4" i="29"/>
  <c r="L4" i="29"/>
  <c r="M4" i="30"/>
  <c r="L4" i="30"/>
  <c r="J4" i="30"/>
  <c r="K4" i="30"/>
  <c r="O5" i="30"/>
  <c r="K10" i="29"/>
  <c r="M10" i="29"/>
  <c r="L10" i="29"/>
  <c r="J10" i="29"/>
  <c r="O5" i="29"/>
  <c r="K6" i="9"/>
  <c r="J6" i="9"/>
  <c r="M6" i="9"/>
  <c r="L6" i="9"/>
  <c r="J3" i="9"/>
  <c r="M3" i="9"/>
  <c r="K3" i="9"/>
  <c r="L3" i="9"/>
  <c r="K6" i="29"/>
  <c r="M6" i="29"/>
  <c r="L6" i="29"/>
  <c r="J6" i="29"/>
  <c r="M7" i="29"/>
  <c r="L7" i="29"/>
  <c r="K7" i="29"/>
  <c r="J7" i="29"/>
  <c r="J3" i="30"/>
  <c r="L3" i="30"/>
  <c r="K3" i="30"/>
  <c r="M3" i="30"/>
  <c r="M4" i="9"/>
  <c r="J4" i="9"/>
  <c r="K4" i="9"/>
  <c r="L4" i="9"/>
  <c r="J6" i="30"/>
  <c r="L6" i="30"/>
  <c r="M6" i="30"/>
  <c r="K6" i="30"/>
  <c r="J10" i="9"/>
  <c r="L10" i="9"/>
  <c r="M10" i="9"/>
  <c r="K10" i="9"/>
  <c r="H9" i="17"/>
  <c r="M9" i="17"/>
  <c r="K9" i="17"/>
  <c r="H10" i="17"/>
  <c r="I10" i="17" s="1"/>
  <c r="K10" i="17"/>
  <c r="M10" i="17"/>
  <c r="O3" i="20"/>
  <c r="O8" i="20"/>
  <c r="O7" i="20"/>
  <c r="O6" i="20"/>
  <c r="O5" i="20"/>
  <c r="P6" i="20" l="1"/>
  <c r="Q6" i="20"/>
  <c r="P7" i="20"/>
  <c r="Q7" i="20"/>
  <c r="P8" i="20"/>
  <c r="Q8" i="20"/>
  <c r="Q3" i="20"/>
  <c r="P3" i="20"/>
  <c r="P5" i="20"/>
  <c r="Q5" i="20"/>
  <c r="O3" i="30"/>
  <c r="O3" i="9"/>
  <c r="O7" i="9"/>
  <c r="O4" i="29"/>
  <c r="O4" i="30"/>
  <c r="O10" i="9"/>
  <c r="P3" i="9"/>
  <c r="P7" i="29"/>
  <c r="P10" i="30"/>
  <c r="P4" i="9"/>
  <c r="P4" i="30"/>
  <c r="P7" i="30"/>
  <c r="P3" i="30"/>
  <c r="P10" i="9"/>
  <c r="P6" i="29"/>
  <c r="O3" i="29"/>
  <c r="P6" i="9"/>
  <c r="P4" i="29"/>
  <c r="O10" i="30"/>
  <c r="P6" i="30"/>
  <c r="P10" i="29"/>
  <c r="O7" i="30"/>
  <c r="O10" i="29"/>
  <c r="O4" i="9"/>
  <c r="O6" i="29"/>
  <c r="O6" i="9"/>
  <c r="P7" i="9"/>
  <c r="O6" i="30"/>
  <c r="O7" i="29"/>
  <c r="P3" i="29"/>
  <c r="J10" i="17"/>
  <c r="L10" i="17"/>
  <c r="L9" i="17"/>
  <c r="I9" i="17"/>
  <c r="J9" i="17"/>
  <c r="H10" i="16"/>
  <c r="I10" i="16" s="1"/>
  <c r="H4" i="16"/>
  <c r="M9" i="16"/>
  <c r="K9" i="16"/>
  <c r="H9" i="16"/>
  <c r="I9" i="16" s="1"/>
  <c r="H13" i="16"/>
  <c r="N13" i="16" s="1"/>
  <c r="H13" i="17"/>
  <c r="N13" i="17" s="1"/>
  <c r="R29" i="17"/>
  <c r="O16" i="17"/>
  <c r="N16" i="17"/>
  <c r="O15" i="17"/>
  <c r="N15" i="17"/>
  <c r="O14" i="17"/>
  <c r="N14" i="17"/>
  <c r="L12" i="17"/>
  <c r="O12" i="17" s="1"/>
  <c r="M11" i="17"/>
  <c r="K11" i="17"/>
  <c r="H11" i="17"/>
  <c r="M8" i="17"/>
  <c r="K8" i="17"/>
  <c r="H8" i="17"/>
  <c r="M7" i="17"/>
  <c r="K7" i="17"/>
  <c r="H7" i="17"/>
  <c r="I7" i="17" s="1"/>
  <c r="M6" i="17"/>
  <c r="K6" i="17"/>
  <c r="H6" i="17"/>
  <c r="M5" i="17"/>
  <c r="K5" i="17"/>
  <c r="H5" i="17"/>
  <c r="I5" i="17" s="1"/>
  <c r="M4" i="17"/>
  <c r="K4" i="17"/>
  <c r="H4" i="17"/>
  <c r="M3" i="17"/>
  <c r="K3" i="17"/>
  <c r="H3" i="17"/>
  <c r="I3" i="17" s="1"/>
  <c r="R29" i="16"/>
  <c r="O16" i="16"/>
  <c r="N16" i="16"/>
  <c r="O15" i="16"/>
  <c r="N15" i="16"/>
  <c r="O14" i="16"/>
  <c r="N14" i="16"/>
  <c r="L12" i="16"/>
  <c r="O12" i="16" s="1"/>
  <c r="M11" i="16"/>
  <c r="K11" i="16"/>
  <c r="H11" i="16"/>
  <c r="M10" i="16"/>
  <c r="K10" i="16"/>
  <c r="M8" i="16"/>
  <c r="K8" i="16"/>
  <c r="H8" i="16"/>
  <c r="M7" i="16"/>
  <c r="K7" i="16"/>
  <c r="H7" i="16"/>
  <c r="I7" i="16" s="1"/>
  <c r="M6" i="16"/>
  <c r="K6" i="16"/>
  <c r="H6" i="16"/>
  <c r="M5" i="16"/>
  <c r="K5" i="16"/>
  <c r="H5" i="16"/>
  <c r="I5" i="16" s="1"/>
  <c r="M4" i="16"/>
  <c r="K4" i="16"/>
  <c r="M3" i="16"/>
  <c r="K3" i="16"/>
  <c r="H3" i="16"/>
  <c r="I3" i="16" s="1"/>
  <c r="C14" i="10"/>
  <c r="C13" i="10"/>
  <c r="Q17" i="20" l="1"/>
  <c r="P17" i="20"/>
  <c r="P17" i="30"/>
  <c r="O17" i="30"/>
  <c r="P21" i="30" s="1"/>
  <c r="P35" i="20"/>
  <c r="P17" i="29"/>
  <c r="O10" i="17"/>
  <c r="O17" i="9"/>
  <c r="P21" i="9" s="1"/>
  <c r="P17" i="9"/>
  <c r="O17" i="29"/>
  <c r="O21" i="29" s="1"/>
  <c r="N10" i="17"/>
  <c r="O9" i="17"/>
  <c r="N9" i="17"/>
  <c r="L9" i="16"/>
  <c r="J9" i="16"/>
  <c r="J7" i="16"/>
  <c r="L3" i="16"/>
  <c r="J5" i="16"/>
  <c r="J10" i="16"/>
  <c r="L5" i="16"/>
  <c r="L10" i="16"/>
  <c r="J3" i="16"/>
  <c r="L7" i="16"/>
  <c r="O13" i="16"/>
  <c r="L5" i="17"/>
  <c r="J5" i="17"/>
  <c r="J3" i="17"/>
  <c r="L3" i="17"/>
  <c r="L7" i="17"/>
  <c r="J7" i="17"/>
  <c r="O13" i="17"/>
  <c r="I4" i="17"/>
  <c r="I6" i="17"/>
  <c r="I11" i="17"/>
  <c r="J6" i="17"/>
  <c r="J11" i="17"/>
  <c r="I8" i="17"/>
  <c r="J4" i="17"/>
  <c r="J8" i="17"/>
  <c r="L4" i="17"/>
  <c r="L6" i="17"/>
  <c r="L8" i="17"/>
  <c r="L11" i="17"/>
  <c r="I11" i="16"/>
  <c r="I8" i="16"/>
  <c r="J4" i="16"/>
  <c r="J6" i="16"/>
  <c r="J8" i="16"/>
  <c r="J11" i="16"/>
  <c r="I6" i="16"/>
  <c r="L4" i="16"/>
  <c r="L6" i="16"/>
  <c r="L8" i="16"/>
  <c r="L11" i="16"/>
  <c r="I4" i="16"/>
  <c r="P37" i="20" l="1"/>
  <c r="P21" i="29"/>
  <c r="O21" i="30"/>
  <c r="O21" i="9"/>
  <c r="N8" i="17"/>
  <c r="O3" i="16"/>
  <c r="N5" i="17"/>
  <c r="O5" i="16"/>
  <c r="N11" i="16"/>
  <c r="O10" i="16"/>
  <c r="N8" i="16"/>
  <c r="O7" i="17"/>
  <c r="N7" i="16"/>
  <c r="N9" i="16"/>
  <c r="N4" i="17"/>
  <c r="O3" i="17"/>
  <c r="N7" i="17"/>
  <c r="O7" i="16"/>
  <c r="N5" i="16"/>
  <c r="O8" i="17"/>
  <c r="O6" i="17"/>
  <c r="O9" i="16"/>
  <c r="N10" i="16"/>
  <c r="O6" i="16"/>
  <c r="N4" i="16"/>
  <c r="N3" i="16"/>
  <c r="O11" i="16"/>
  <c r="O8" i="16"/>
  <c r="O5" i="17"/>
  <c r="O4" i="17"/>
  <c r="N11" i="17"/>
  <c r="N3" i="17"/>
  <c r="N6" i="17"/>
  <c r="O11" i="17"/>
  <c r="N6" i="16"/>
  <c r="O4" i="16"/>
  <c r="N19" i="17" l="1"/>
  <c r="N23" i="17" s="1"/>
  <c r="O19" i="17"/>
  <c r="O19" i="16"/>
  <c r="N19" i="16"/>
  <c r="N23" i="16" s="1"/>
  <c r="P21" i="20" l="1"/>
  <c r="C10" i="10"/>
  <c r="C12" i="10" l="1"/>
  <c r="E29" i="10" s="1"/>
  <c r="D50" i="10" l="1"/>
  <c r="E18" i="10"/>
  <c r="E30" i="10" s="1"/>
  <c r="D13" i="10"/>
  <c r="D14" i="10"/>
  <c r="P20" i="31" l="1"/>
  <c r="P23" i="31" s="1"/>
  <c r="P20" i="20"/>
  <c r="P23" i="20" s="1"/>
  <c r="D51" i="10"/>
  <c r="O20" i="30"/>
  <c r="O23" i="30" s="1"/>
  <c r="O20" i="29"/>
  <c r="O23" i="29" s="1"/>
  <c r="O20" i="9"/>
  <c r="O23" i="9" s="1"/>
  <c r="P20" i="30"/>
  <c r="P23" i="30" s="1"/>
  <c r="P20" i="29"/>
  <c r="P23" i="29" s="1"/>
  <c r="P20" i="9"/>
  <c r="P23" i="9" s="1"/>
  <c r="N22" i="17"/>
  <c r="N25" i="17" s="1"/>
  <c r="N22" i="16"/>
  <c r="N25" i="16" s="1"/>
</calcChain>
</file>

<file path=xl/sharedStrings.xml><?xml version="1.0" encoding="utf-8"?>
<sst xmlns="http://schemas.openxmlformats.org/spreadsheetml/2006/main" count="795" uniqueCount="234">
  <si>
    <t>IRAP</t>
  </si>
  <si>
    <t>inail</t>
  </si>
  <si>
    <t>Cpdel</t>
  </si>
  <si>
    <t>H/SETT</t>
  </si>
  <si>
    <t>B5</t>
  </si>
  <si>
    <t>VACANTE</t>
  </si>
  <si>
    <t>C1</t>
  </si>
  <si>
    <t>D1</t>
  </si>
  <si>
    <t>Istruttore Direttivo Contabile</t>
  </si>
  <si>
    <t>B3</t>
  </si>
  <si>
    <t>D</t>
  </si>
  <si>
    <t>POSIZIONE ECONOMICA</t>
  </si>
  <si>
    <t>tempo di lavoro</t>
  </si>
  <si>
    <t>C</t>
  </si>
  <si>
    <t>PROFILO PROFESSIONALE</t>
  </si>
  <si>
    <t>CATEGORIA</t>
  </si>
  <si>
    <t>TOTALE</t>
  </si>
  <si>
    <t>MACROAGGR. 1.03.02.12.001</t>
  </si>
  <si>
    <t>MACROAGGR. 1.03.02.12.002</t>
  </si>
  <si>
    <t>MACROAGGR. 1.03.02.12.003</t>
  </si>
  <si>
    <t>TIPOLOGIA</t>
  </si>
  <si>
    <t>TEMPO INDETERMINATO</t>
  </si>
  <si>
    <t>d</t>
  </si>
  <si>
    <t>DATA TERMINE</t>
  </si>
  <si>
    <t>-</t>
  </si>
  <si>
    <t>D5</t>
  </si>
  <si>
    <t>c</t>
  </si>
  <si>
    <t>C2</t>
  </si>
  <si>
    <t>C3</t>
  </si>
  <si>
    <t>Fascia</t>
  </si>
  <si>
    <t>Popolazione</t>
  </si>
  <si>
    <t>Tabella 1 (Valore soglia più basso)</t>
  </si>
  <si>
    <t>Tabella 3 (Valore soglia più alto)</t>
  </si>
  <si>
    <t>a</t>
  </si>
  <si>
    <t>0-999</t>
  </si>
  <si>
    <t>b</t>
  </si>
  <si>
    <t>1000-1999</t>
  </si>
  <si>
    <t>2000-2999</t>
  </si>
  <si>
    <t>3000-4999</t>
  </si>
  <si>
    <t>e</t>
  </si>
  <si>
    <t>5000-9999</t>
  </si>
  <si>
    <t>f</t>
  </si>
  <si>
    <t>10000-59999</t>
  </si>
  <si>
    <t>g</t>
  </si>
  <si>
    <t>60000-249999</t>
  </si>
  <si>
    <t>h</t>
  </si>
  <si>
    <t>250000-14999999</t>
  </si>
  <si>
    <t>i</t>
  </si>
  <si>
    <t>1500000&gt;</t>
  </si>
  <si>
    <t>Anno 2020</t>
  </si>
  <si>
    <t>Anno 2021</t>
  </si>
  <si>
    <t>Anno 2023</t>
  </si>
  <si>
    <t>Anno 2024</t>
  </si>
  <si>
    <t>AREA</t>
  </si>
  <si>
    <t>FINANZIARIA</t>
  </si>
  <si>
    <t>AMMINISTRATIVA</t>
  </si>
  <si>
    <t>TECNICA</t>
  </si>
  <si>
    <t>Istruttore amministrativo contabile</t>
  </si>
  <si>
    <t>Istruttore vigilanza</t>
  </si>
  <si>
    <t>C4</t>
  </si>
  <si>
    <t>Istruttore direttivo tecnico</t>
  </si>
  <si>
    <t>Operaio specializzato</t>
  </si>
  <si>
    <t>B</t>
  </si>
  <si>
    <t>D4</t>
  </si>
  <si>
    <t>B4</t>
  </si>
  <si>
    <t>PRODUTTIVITA'</t>
  </si>
  <si>
    <t>BUONI PASTO</t>
  </si>
  <si>
    <t>SEGRETERIA ASSOCIATA</t>
  </si>
  <si>
    <t>IVC</t>
  </si>
  <si>
    <t>D3</t>
  </si>
  <si>
    <t>C5</t>
  </si>
  <si>
    <t>A3</t>
  </si>
  <si>
    <t>Stipendio tabellare</t>
  </si>
  <si>
    <t>Indennità di comparto</t>
  </si>
  <si>
    <t>Elemento perequativo</t>
  </si>
  <si>
    <t>IVC sino al 31/03</t>
  </si>
  <si>
    <t>da 1/04 a 30/06</t>
  </si>
  <si>
    <t>dal 01/07</t>
  </si>
  <si>
    <t>B2</t>
  </si>
  <si>
    <t>D6</t>
  </si>
  <si>
    <t>Istruttore Assistente sociale</t>
  </si>
  <si>
    <t xml:space="preserve">TEMPO INDETERMINATO </t>
  </si>
  <si>
    <t>Istruttore amministrativo (demografici)</t>
  </si>
  <si>
    <t>Istruttore amm.vo tecnico</t>
  </si>
  <si>
    <t>Trattamento stipendiale</t>
  </si>
  <si>
    <t>inadel 2,88</t>
  </si>
  <si>
    <t xml:space="preserve">Spesa prevista anno 2023 escluso IRAP per DM 17.3.2020 </t>
  </si>
  <si>
    <t>Spesa prevista anno 2023 comprensivo IRAP per c. 557</t>
  </si>
  <si>
    <t>INDENNITA' POSIZIONE/RISULTATO</t>
  </si>
  <si>
    <t>TOTALE A</t>
  </si>
  <si>
    <t xml:space="preserve">B - Margine di spesa massima DM 17.3.3020 (Spese 2018) </t>
  </si>
  <si>
    <t xml:space="preserve">A - Totale spesa personale 2022 per applicazione DM 17.3.2020 </t>
  </si>
  <si>
    <t>Margine capacità assunzionale disponibile (B-A)</t>
  </si>
  <si>
    <t>ANALISI LIMITE</t>
  </si>
  <si>
    <t>ART. 110</t>
  </si>
  <si>
    <t>D2</t>
  </si>
  <si>
    <t>AGGIORNAMENTO CONTRATTUALE</t>
  </si>
  <si>
    <t>IN DOTAZIONE</t>
  </si>
  <si>
    <t>B6</t>
  </si>
  <si>
    <t>dal 01/12</t>
  </si>
  <si>
    <t>Istruttore direttivo Assistente sociale</t>
  </si>
  <si>
    <t>Istruttore direttivo amministrativo</t>
  </si>
  <si>
    <t>importo</t>
  </si>
  <si>
    <t>totale</t>
  </si>
  <si>
    <t>STIPENDIO MENSILE LORDO</t>
  </si>
  <si>
    <t>stipendio annuo lordo</t>
  </si>
  <si>
    <t>indennità di comparto</t>
  </si>
  <si>
    <t>vacanza contrattuale 2020</t>
  </si>
  <si>
    <t>elemento perequativo</t>
  </si>
  <si>
    <t>IVC + Perequativo</t>
  </si>
  <si>
    <t>inadel 3,6</t>
  </si>
  <si>
    <t>inadel 6,1</t>
  </si>
  <si>
    <t>A</t>
  </si>
  <si>
    <t>A2</t>
  </si>
  <si>
    <t>posizioni organizzative</t>
  </si>
  <si>
    <t>fondo di produttività</t>
  </si>
  <si>
    <t>buoni mensa</t>
  </si>
  <si>
    <t>assegni familiari</t>
  </si>
  <si>
    <t>tempo determinato</t>
  </si>
  <si>
    <t>Istruttore amministrativo (anagrafe/prot.)</t>
  </si>
  <si>
    <t>Operaio</t>
  </si>
  <si>
    <t>RISORSE DECENTRATE</t>
  </si>
  <si>
    <t>ANALISI LIMITE 2021</t>
  </si>
  <si>
    <t>CONVENZIONE SEGRETARIO</t>
  </si>
  <si>
    <t>SPESA PERSONALE ANNO 2018</t>
  </si>
  <si>
    <t>MEDIA ENTRATE - FCDE</t>
  </si>
  <si>
    <t>INCREMENTO TEORICO CAPACITA' ASSUNZIONALE</t>
  </si>
  <si>
    <t>INCREMENTO EFFETTIVO CAPACITA' ASSUNZIONALE</t>
  </si>
  <si>
    <t>VALORE SOGLIA INFERIORE (TAB. 1)</t>
  </si>
  <si>
    <t>dettaglio impegni di competenza</t>
  </si>
  <si>
    <t>VALORE SOGLIA INFERIORE</t>
  </si>
  <si>
    <t>VALORE SOGLIA SUPERIORE (TAB. 3)</t>
  </si>
  <si>
    <t>FASE 3: SPESA MASSIMA SOSTENIBILE</t>
  </si>
  <si>
    <r>
      <rPr>
        <b/>
        <sz val="11"/>
        <color theme="1"/>
        <rFont val="Calibri"/>
        <family val="2"/>
        <scheme val="minor"/>
      </rPr>
      <t>FASE 2: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INCREMENTO EFFETTIVO SPESE PERSONALE</t>
    </r>
  </si>
  <si>
    <r>
      <rPr>
        <b/>
        <sz val="11"/>
        <color rgb="FF000000"/>
        <rFont val="Calibri"/>
        <family val="2"/>
        <scheme val="minor"/>
      </rPr>
      <t>FASE 1:</t>
    </r>
    <r>
      <rPr>
        <sz val="11"/>
        <color rgb="FF000000"/>
        <rFont val="Calibri"/>
        <family val="2"/>
        <scheme val="minor"/>
      </rPr>
      <t xml:space="preserve">  </t>
    </r>
    <r>
      <rPr>
        <b/>
        <sz val="11"/>
        <color rgb="FF000000"/>
        <rFont val="Calibri"/>
        <family val="2"/>
        <scheme val="minor"/>
      </rPr>
      <t>INCREMENTO TEORICO SPESE PERSONALE</t>
    </r>
  </si>
  <si>
    <t>FABBISOGNO DI PERSONALE PROGRAMMATO</t>
  </si>
  <si>
    <t>VERIFICA LIMITE</t>
  </si>
  <si>
    <t>SPESA PERSONALE A TEMPO INDETERMINATO</t>
  </si>
  <si>
    <t>SPESA PERSONALE A TEMPO DETERMINATO</t>
  </si>
  <si>
    <t>INCREMENTO DI SPESA</t>
  </si>
  <si>
    <t>COPERTO</t>
  </si>
  <si>
    <t>ENTRATE TITOLI I-II-III</t>
  </si>
  <si>
    <t>LIMITE  
DM 17.03.2020</t>
  </si>
  <si>
    <t>LIMITE ART. 1 COMMA 562 L. 296/2006</t>
  </si>
  <si>
    <t>SEGRETERIA CONVENZIONATA</t>
  </si>
  <si>
    <t>RETRIBUZIONE POSIZIONE/RISULTATO</t>
  </si>
  <si>
    <t>FONDO RISORSE DECENTRATE</t>
  </si>
  <si>
    <t xml:space="preserve">A - Spesa massima DM 17.03.2020 </t>
  </si>
  <si>
    <t>A - Spesa massima art. 9 c. 28 D.L. 78/2010</t>
  </si>
  <si>
    <t>B1</t>
  </si>
  <si>
    <t>dal 01/01/23</t>
  </si>
  <si>
    <t>D - Margine capacità assunzionale (A-B-C)</t>
  </si>
  <si>
    <t>OPERATORI</t>
  </si>
  <si>
    <t>ISTRUTTORI</t>
  </si>
  <si>
    <t>specialista in attività amministrative</t>
  </si>
  <si>
    <t>assistente sociale</t>
  </si>
  <si>
    <t>specialista in attività tecniche e di progettazione</t>
  </si>
  <si>
    <t>specialista in attività contabili</t>
  </si>
  <si>
    <t>istruttore amministrativo</t>
  </si>
  <si>
    <t>istruttore tecnico-contabile</t>
  </si>
  <si>
    <t>operatore tecnico manutentore</t>
  </si>
  <si>
    <t>collaboratore tecnico manutentivo</t>
  </si>
  <si>
    <t>OPERATORI ESPERTI</t>
  </si>
  <si>
    <t>AREA DI INQUADRAMENTO CCNL 16.11.2022</t>
  </si>
  <si>
    <t>POSIZIONE ECONOMICA CCNL 21.05.2018</t>
  </si>
  <si>
    <t>FUNZIONARI ED E.Q.</t>
  </si>
  <si>
    <t>COPERTO VACANTE</t>
  </si>
  <si>
    <t xml:space="preserve">MACROAGGR. 1.03.02.12.999  </t>
  </si>
  <si>
    <t>&lt;29,50%</t>
  </si>
  <si>
    <t>Differenziale stipendiale</t>
  </si>
  <si>
    <t>MEDIA ENTRATE 2022-2024 TITOLI I-II-III</t>
  </si>
  <si>
    <t>FCDE PREVISIONE 2024</t>
  </si>
  <si>
    <t>SPESA PERSONALE 2024</t>
  </si>
  <si>
    <t>TOTALE IMPEGNI DI COMPETENZA 2024</t>
  </si>
  <si>
    <t>Stipendio tabellare CCNL 2019-2021 per 13 mensilità</t>
  </si>
  <si>
    <t>Incrementi contrattuali 2026</t>
  </si>
  <si>
    <t>Spesa prevista anno 2026 esclusa IRAP</t>
  </si>
  <si>
    <t>Spesa prevista anno 2026 inclusa IRAP</t>
  </si>
  <si>
    <t>VALUTAZIONE CAPACITA' DI SPESA</t>
  </si>
  <si>
    <t>LIMITE TEORICO</t>
  </si>
  <si>
    <t>MARGINE (SPAZIO CONSENTITO)</t>
  </si>
  <si>
    <t>Incrementi contrattuali 2027</t>
  </si>
  <si>
    <t>Spesa prevista anno 2027 esclusa IRAP</t>
  </si>
  <si>
    <t xml:space="preserve">B - Spesa personale stimata nel 2026 </t>
  </si>
  <si>
    <t>SERVIZIO</t>
  </si>
  <si>
    <t>FINANZIARIO</t>
  </si>
  <si>
    <t>AMMINISTRATIVO</t>
  </si>
  <si>
    <t>TECNICO</t>
  </si>
  <si>
    <t>AREA DI INQUADRAMENTO</t>
  </si>
  <si>
    <t>FUNZIONARI ED ELEVATE QUALIFICAZIONI</t>
  </si>
  <si>
    <t>B - Spesa personale stimata nel 2026</t>
  </si>
  <si>
    <t>istruttore tecnico - contabile</t>
  </si>
  <si>
    <t>CPDEL</t>
  </si>
  <si>
    <t>INADEL</t>
  </si>
  <si>
    <t>INAIL</t>
  </si>
  <si>
    <t>assistente sociale - FUNZIONARI ED ELEVATE QUALIFICAZIONI</t>
  </si>
  <si>
    <t>PROFILO PROFESSIONALE - AREA INQUADRAMENTO</t>
  </si>
  <si>
    <t>specialista in attività tecniche e progettuali</t>
  </si>
  <si>
    <t>collaboratore tecnico - manutentivo</t>
  </si>
  <si>
    <t>contratto di lavoro subordinato fuori orario con dipendente di altro Comune - art. 1, comma 557, legge 311/2004</t>
  </si>
  <si>
    <t>PERIODO</t>
  </si>
  <si>
    <t>01.01.2026 - 28.02.2026</t>
  </si>
  <si>
    <t xml:space="preserve">B - Spesa personale stimata nel 2027 </t>
  </si>
  <si>
    <t>MODALITA' DI LAVORO FLESSIBILE</t>
  </si>
  <si>
    <t>C - Cessione spesa Unione dei Comuni Alta Marmilla</t>
  </si>
  <si>
    <t>C - Cessione spesa alla Unione dei Comuni Alta Marmilla</t>
  </si>
  <si>
    <t>limite teorico</t>
  </si>
  <si>
    <t>VERIFICA LIMITE DI SPESA</t>
  </si>
  <si>
    <t>SPESA DI PERSONALE 2024/MEDIA ENTRATE 2022-2024 - FCDE</t>
  </si>
  <si>
    <t>MACROAGGR. 1.01.00.00.000</t>
  </si>
  <si>
    <t>CALCOLO CAPACITA' ASSUNZIONALI 2025</t>
  </si>
  <si>
    <t xml:space="preserve"> IRAP </t>
  </si>
  <si>
    <t xml:space="preserve"> CPDEL </t>
  </si>
  <si>
    <t xml:space="preserve"> INADEL </t>
  </si>
  <si>
    <t xml:space="preserve"> INAIL </t>
  </si>
  <si>
    <t xml:space="preserve"> tempo di lavoro </t>
  </si>
  <si>
    <t>Spesa prevista anno 2025 esclusa IRAP</t>
  </si>
  <si>
    <t>Spesa prevista anno 2025 inclusa IRAP</t>
  </si>
  <si>
    <t>B - Spesa personale stimata nel 2025</t>
  </si>
  <si>
    <t>TIPOLOGIA DI LAVORO FLESSIBILE</t>
  </si>
  <si>
    <t>PROFILO PROFESSIONALE - AREA DI INQUADRAMENTO</t>
  </si>
  <si>
    <t>16.04.2025 - 30.11.2025</t>
  </si>
  <si>
    <t xml:space="preserve"> POSIZIONE ECONOMICA</t>
  </si>
  <si>
    <t>7,5 mesi</t>
  </si>
  <si>
    <t>contratto di lavoro subordinato fuori orario con dipendente di altro Comune - art. 1, comma 557, legge 311/2005</t>
  </si>
  <si>
    <t>01.12.2025-31.12.2025</t>
  </si>
  <si>
    <t>1,0 mesi</t>
  </si>
  <si>
    <t>Spesa prevista anno 2027 inclusa IRAP</t>
  </si>
  <si>
    <t>totale spesa personale programmata per il 2025 al netto dell'IRAP</t>
  </si>
  <si>
    <t>totale spesa personale programmata per il 2026 al netto dell'IRAP</t>
  </si>
  <si>
    <t>totale spesa personale programmata per il 2027 al netto dell'IRAP</t>
  </si>
  <si>
    <t>Indennità di comparto CCNL 2002-2003 per 13 mensilità</t>
  </si>
  <si>
    <t>nessuna assunzione prevista</t>
  </si>
  <si>
    <t>B - Spesa personale stimata nel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</si>
</sst>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.00\ [$€-1];[Red]\-#,##0.00\ [$€-1]"/>
    <numFmt numFmtId="167" formatCode="#,##0.00&quot; €&quot;"/>
    <numFmt numFmtId="168" formatCode="#,##0.00\ &quot;€&quot;"/>
    <numFmt numFmtId="169" formatCode="#,##0.00_ ;[Red]\-#,##0.00\ "/>
    <numFmt numFmtId="170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u val="singleAccounting"/>
      <sz val="11"/>
      <color rgb="FF000000"/>
      <name val="Calibri"/>
      <family val="2"/>
    </font>
    <font>
      <sz val="11"/>
      <name val="Calibri"/>
      <family val="2"/>
      <charset val="1"/>
    </font>
    <font>
      <b/>
      <u/>
      <sz val="11"/>
      <name val="Calibri"/>
      <family val="2"/>
    </font>
    <font>
      <b/>
      <sz val="11"/>
      <name val="Calibri"/>
      <family val="2"/>
      <charset val="1"/>
    </font>
    <font>
      <b/>
      <u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3FF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</cellStyleXfs>
  <cellXfs count="279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166" fontId="0" fillId="2" borderId="0" xfId="0" applyNumberFormat="1" applyFill="1"/>
    <xf numFmtId="0" fontId="4" fillId="2" borderId="0" xfId="0" applyFont="1" applyFill="1"/>
    <xf numFmtId="0" fontId="8" fillId="2" borderId="0" xfId="0" applyFont="1" applyFill="1"/>
    <xf numFmtId="43" fontId="0" fillId="2" borderId="0" xfId="1" applyFont="1" applyFill="1"/>
    <xf numFmtId="0" fontId="9" fillId="2" borderId="0" xfId="0" applyFont="1" applyFill="1" applyAlignment="1">
      <alignment horizontal="center" vertical="center"/>
    </xf>
    <xf numFmtId="10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43" fontId="0" fillId="2" borderId="7" xfId="1" applyFont="1" applyFill="1" applyBorder="1"/>
    <xf numFmtId="166" fontId="4" fillId="2" borderId="0" xfId="0" applyNumberFormat="1" applyFont="1" applyFill="1"/>
    <xf numFmtId="0" fontId="0" fillId="2" borderId="6" xfId="0" applyFill="1" applyBorder="1"/>
    <xf numFmtId="0" fontId="0" fillId="2" borderId="7" xfId="0" applyFill="1" applyBorder="1"/>
    <xf numFmtId="43" fontId="0" fillId="2" borderId="0" xfId="1" applyFont="1" applyFill="1" applyBorder="1"/>
    <xf numFmtId="165" fontId="0" fillId="2" borderId="7" xfId="0" applyNumberFormat="1" applyFill="1" applyBorder="1"/>
    <xf numFmtId="165" fontId="0" fillId="2" borderId="0" xfId="0" applyNumberFormat="1" applyFill="1"/>
    <xf numFmtId="166" fontId="0" fillId="2" borderId="7" xfId="0" applyNumberFormat="1" applyFill="1" applyBorder="1"/>
    <xf numFmtId="166" fontId="4" fillId="2" borderId="7" xfId="0" applyNumberFormat="1" applyFont="1" applyFill="1" applyBorder="1"/>
    <xf numFmtId="43" fontId="0" fillId="2" borderId="9" xfId="1" applyFont="1" applyFill="1" applyBorder="1"/>
    <xf numFmtId="166" fontId="0" fillId="2" borderId="10" xfId="0" applyNumberFormat="1" applyFill="1" applyBorder="1"/>
    <xf numFmtId="0" fontId="8" fillId="2" borderId="6" xfId="0" applyFont="1" applyFill="1" applyBorder="1"/>
    <xf numFmtId="10" fontId="8" fillId="2" borderId="0" xfId="2" applyNumberFormat="1" applyFont="1" applyFill="1"/>
    <xf numFmtId="0" fontId="0" fillId="2" borderId="11" xfId="0" applyFill="1" applyBorder="1"/>
    <xf numFmtId="0" fontId="0" fillId="2" borderId="9" xfId="0" applyFill="1" applyBorder="1"/>
    <xf numFmtId="166" fontId="0" fillId="2" borderId="9" xfId="0" applyNumberFormat="1" applyFill="1" applyBorder="1"/>
    <xf numFmtId="0" fontId="0" fillId="2" borderId="4" xfId="0" applyFill="1" applyBorder="1"/>
    <xf numFmtId="0" fontId="0" fillId="2" borderId="10" xfId="0" applyFill="1" applyBorder="1"/>
    <xf numFmtId="43" fontId="8" fillId="2" borderId="0" xfId="1" applyFont="1" applyFill="1" applyAlignment="1">
      <alignment horizontal="center"/>
    </xf>
    <xf numFmtId="4" fontId="0" fillId="2" borderId="0" xfId="0" applyNumberFormat="1" applyFill="1"/>
    <xf numFmtId="164" fontId="0" fillId="2" borderId="0" xfId="0" applyNumberFormat="1" applyFill="1"/>
    <xf numFmtId="0" fontId="7" fillId="2" borderId="0" xfId="0" applyFont="1" applyFill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11" fillId="2" borderId="0" xfId="0" applyFont="1" applyFill="1"/>
    <xf numFmtId="43" fontId="0" fillId="2" borderId="0" xfId="1" applyFont="1" applyFill="1" applyAlignment="1">
      <alignment vertic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43" fontId="7" fillId="2" borderId="0" xfId="1" applyFont="1" applyFill="1" applyBorder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43" fontId="1" fillId="2" borderId="1" xfId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/>
    <xf numFmtId="167" fontId="21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vertical="center"/>
    </xf>
    <xf numFmtId="43" fontId="1" fillId="5" borderId="1" xfId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 wrapText="1"/>
    </xf>
    <xf numFmtId="0" fontId="7" fillId="0" borderId="0" xfId="0" applyFont="1"/>
    <xf numFmtId="4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0" xfId="0" applyNumberFormat="1" applyFont="1"/>
    <xf numFmtId="4" fontId="1" fillId="0" borderId="1" xfId="0" applyNumberFormat="1" applyFont="1" applyBorder="1" applyAlignment="1">
      <alignment wrapText="1"/>
    </xf>
    <xf numFmtId="0" fontId="0" fillId="7" borderId="0" xfId="0" applyFill="1"/>
    <xf numFmtId="12" fontId="0" fillId="0" borderId="0" xfId="0" applyNumberFormat="1"/>
    <xf numFmtId="168" fontId="0" fillId="0" borderId="0" xfId="0" applyNumberFormat="1"/>
    <xf numFmtId="43" fontId="0" fillId="2" borderId="0" xfId="1" applyFont="1" applyFill="1" applyBorder="1" applyAlignment="1">
      <alignment vertical="center"/>
    </xf>
    <xf numFmtId="166" fontId="7" fillId="2" borderId="0" xfId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24" fillId="2" borderId="6" xfId="0" applyFont="1" applyFill="1" applyBorder="1"/>
    <xf numFmtId="166" fontId="0" fillId="8" borderId="1" xfId="0" applyNumberFormat="1" applyFill="1" applyBorder="1"/>
    <xf numFmtId="43" fontId="17" fillId="9" borderId="1" xfId="0" applyNumberFormat="1" applyFont="1" applyFill="1" applyBorder="1"/>
    <xf numFmtId="0" fontId="4" fillId="8" borderId="6" xfId="0" applyFont="1" applyFill="1" applyBorder="1"/>
    <xf numFmtId="0" fontId="17" fillId="2" borderId="0" xfId="0" applyFont="1" applyFill="1" applyAlignment="1">
      <alignment horizontal="center"/>
    </xf>
    <xf numFmtId="169" fontId="0" fillId="2" borderId="0" xfId="0" applyNumberFormat="1" applyFill="1"/>
    <xf numFmtId="169" fontId="1" fillId="0" borderId="0" xfId="0" applyNumberFormat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9" fontId="0" fillId="0" borderId="0" xfId="0" applyNumberFormat="1"/>
    <xf numFmtId="169" fontId="4" fillId="8" borderId="0" xfId="0" applyNumberFormat="1" applyFont="1" applyFill="1"/>
    <xf numFmtId="166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6" fontId="1" fillId="8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167" fontId="21" fillId="2" borderId="0" xfId="0" applyNumberFormat="1" applyFont="1" applyFill="1" applyAlignment="1">
      <alignment horizontal="center"/>
    </xf>
    <xf numFmtId="167" fontId="21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0" borderId="11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5" borderId="0" xfId="0" applyFont="1" applyFill="1" applyAlignment="1">
      <alignment horizontal="right" vertical="center"/>
    </xf>
    <xf numFmtId="0" fontId="13" fillId="5" borderId="0" xfId="0" applyFont="1" applyFill="1" applyAlignment="1">
      <alignment vertical="center"/>
    </xf>
    <xf numFmtId="4" fontId="13" fillId="5" borderId="0" xfId="0" applyNumberFormat="1" applyFont="1" applyFill="1" applyAlignment="1">
      <alignment vertical="center"/>
    </xf>
    <xf numFmtId="43" fontId="17" fillId="3" borderId="0" xfId="0" applyNumberFormat="1" applyFont="1" applyFill="1" applyAlignment="1">
      <alignment horizontal="center"/>
    </xf>
    <xf numFmtId="43" fontId="0" fillId="2" borderId="0" xfId="0" applyNumberFormat="1" applyFill="1"/>
    <xf numFmtId="43" fontId="26" fillId="2" borderId="0" xfId="0" applyNumberFormat="1" applyFont="1" applyFill="1"/>
    <xf numFmtId="43" fontId="16" fillId="2" borderId="0" xfId="0" applyNumberFormat="1" applyFont="1" applyFill="1"/>
    <xf numFmtId="43" fontId="18" fillId="2" borderId="0" xfId="0" applyNumberFormat="1" applyFont="1" applyFill="1"/>
    <xf numFmtId="0" fontId="4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4" fontId="27" fillId="8" borderId="1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43" fontId="1" fillId="2" borderId="0" xfId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170" fontId="4" fillId="2" borderId="1" xfId="1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4" fontId="5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170" fontId="1" fillId="2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2" borderId="6" xfId="0" applyNumberFormat="1" applyFill="1" applyBorder="1"/>
    <xf numFmtId="2" fontId="0" fillId="0" borderId="0" xfId="0" applyNumberFormat="1"/>
    <xf numFmtId="0" fontId="8" fillId="2" borderId="6" xfId="0" applyFont="1" applyFill="1" applyBorder="1"/>
    <xf numFmtId="0" fontId="16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" fillId="2" borderId="0" xfId="0" applyFont="1" applyFill="1"/>
    <xf numFmtId="0" fontId="4" fillId="2" borderId="0" xfId="0" applyFont="1" applyFill="1"/>
    <xf numFmtId="0" fontId="4" fillId="2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1" fillId="0" borderId="14" xfId="0" applyFont="1" applyBorder="1"/>
    <xf numFmtId="0" fontId="0" fillId="0" borderId="16" xfId="0" applyBorder="1"/>
    <xf numFmtId="0" fontId="0" fillId="0" borderId="15" xfId="0" applyBorder="1"/>
    <xf numFmtId="0" fontId="27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wrapText="1"/>
    </xf>
    <xf numFmtId="0" fontId="27" fillId="2" borderId="7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27" fillId="2" borderId="0" xfId="0" applyFont="1" applyFill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0" fillId="0" borderId="7" xfId="0" applyBorder="1"/>
    <xf numFmtId="0" fontId="1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4">
    <cellStyle name="Migliaia" xfId="1" builtinId="3"/>
    <cellStyle name="Normale" xfId="0" builtinId="0"/>
    <cellStyle name="Normale 2" xfId="3" xr:uid="{00000000-0005-0000-0000-000002000000}"/>
    <cellStyle name="Percentuale" xfId="2" builtinId="5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3F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view="pageBreakPreview" topLeftCell="A40" zoomScaleNormal="100" zoomScaleSheetLayoutView="100" workbookViewId="0">
      <selection activeCell="N66" sqref="N66"/>
    </sheetView>
  </sheetViews>
  <sheetFormatPr defaultColWidth="8.85546875" defaultRowHeight="15" x14ac:dyDescent="0.25"/>
  <cols>
    <col min="1" max="1" width="8.85546875" style="3"/>
    <col min="2" max="2" width="34.7109375" style="3" customWidth="1"/>
    <col min="3" max="3" width="17.7109375" style="3" customWidth="1"/>
    <col min="4" max="4" width="14.85546875" style="3" customWidth="1"/>
    <col min="5" max="5" width="16.7109375" style="3" customWidth="1"/>
    <col min="6" max="6" width="18.140625" style="3" bestFit="1" customWidth="1"/>
    <col min="7" max="7" width="18.140625" style="3" customWidth="1"/>
    <col min="8" max="8" width="6.7109375" style="3" customWidth="1"/>
    <col min="9" max="9" width="2.85546875" style="3" customWidth="1"/>
    <col min="10" max="10" width="4" style="3" customWidth="1"/>
    <col min="11" max="11" width="11" style="3" bestFit="1" customWidth="1"/>
    <col min="12" max="12" width="14.5703125" style="3" customWidth="1"/>
    <col min="13" max="13" width="11.7109375" style="3" customWidth="1"/>
    <col min="14" max="14" width="12.7109375" style="3" customWidth="1"/>
    <col min="15" max="15" width="10.28515625" style="3" customWidth="1"/>
    <col min="16" max="16" width="12.140625" style="3" customWidth="1"/>
    <col min="17" max="23" width="8.85546875" style="3" hidden="1" customWidth="1"/>
    <col min="24" max="256" width="8.85546875" style="3"/>
    <col min="257" max="257" width="34.7109375" style="3" customWidth="1"/>
    <col min="258" max="258" width="17.7109375" style="3" customWidth="1"/>
    <col min="259" max="259" width="13.140625" style="3" bestFit="1" customWidth="1"/>
    <col min="260" max="260" width="12.28515625" style="3" customWidth="1"/>
    <col min="261" max="261" width="18.140625" style="3" bestFit="1" customWidth="1"/>
    <col min="262" max="263" width="18.140625" style="3" customWidth="1"/>
    <col min="264" max="512" width="8.85546875" style="3"/>
    <col min="513" max="513" width="34.7109375" style="3" customWidth="1"/>
    <col min="514" max="514" width="17.7109375" style="3" customWidth="1"/>
    <col min="515" max="515" width="13.140625" style="3" bestFit="1" customWidth="1"/>
    <col min="516" max="516" width="12.28515625" style="3" customWidth="1"/>
    <col min="517" max="517" width="18.140625" style="3" bestFit="1" customWidth="1"/>
    <col min="518" max="519" width="18.140625" style="3" customWidth="1"/>
    <col min="520" max="768" width="8.85546875" style="3"/>
    <col min="769" max="769" width="34.7109375" style="3" customWidth="1"/>
    <col min="770" max="770" width="17.7109375" style="3" customWidth="1"/>
    <col min="771" max="771" width="13.140625" style="3" bestFit="1" customWidth="1"/>
    <col min="772" max="772" width="12.28515625" style="3" customWidth="1"/>
    <col min="773" max="773" width="18.140625" style="3" bestFit="1" customWidth="1"/>
    <col min="774" max="775" width="18.140625" style="3" customWidth="1"/>
    <col min="776" max="1024" width="8.85546875" style="3"/>
    <col min="1025" max="1025" width="34.7109375" style="3" customWidth="1"/>
    <col min="1026" max="1026" width="17.7109375" style="3" customWidth="1"/>
    <col min="1027" max="1027" width="13.140625" style="3" bestFit="1" customWidth="1"/>
    <col min="1028" max="1028" width="12.28515625" style="3" customWidth="1"/>
    <col min="1029" max="1029" width="18.140625" style="3" bestFit="1" customWidth="1"/>
    <col min="1030" max="1031" width="18.140625" style="3" customWidth="1"/>
    <col min="1032" max="1280" width="8.85546875" style="3"/>
    <col min="1281" max="1281" width="34.7109375" style="3" customWidth="1"/>
    <col min="1282" max="1282" width="17.7109375" style="3" customWidth="1"/>
    <col min="1283" max="1283" width="13.140625" style="3" bestFit="1" customWidth="1"/>
    <col min="1284" max="1284" width="12.28515625" style="3" customWidth="1"/>
    <col min="1285" max="1285" width="18.140625" style="3" bestFit="1" customWidth="1"/>
    <col min="1286" max="1287" width="18.140625" style="3" customWidth="1"/>
    <col min="1288" max="1536" width="8.85546875" style="3"/>
    <col min="1537" max="1537" width="34.7109375" style="3" customWidth="1"/>
    <col min="1538" max="1538" width="17.7109375" style="3" customWidth="1"/>
    <col min="1539" max="1539" width="13.140625" style="3" bestFit="1" customWidth="1"/>
    <col min="1540" max="1540" width="12.28515625" style="3" customWidth="1"/>
    <col min="1541" max="1541" width="18.140625" style="3" bestFit="1" customWidth="1"/>
    <col min="1542" max="1543" width="18.140625" style="3" customWidth="1"/>
    <col min="1544" max="1792" width="8.85546875" style="3"/>
    <col min="1793" max="1793" width="34.7109375" style="3" customWidth="1"/>
    <col min="1794" max="1794" width="17.7109375" style="3" customWidth="1"/>
    <col min="1795" max="1795" width="13.140625" style="3" bestFit="1" customWidth="1"/>
    <col min="1796" max="1796" width="12.28515625" style="3" customWidth="1"/>
    <col min="1797" max="1797" width="18.140625" style="3" bestFit="1" customWidth="1"/>
    <col min="1798" max="1799" width="18.140625" style="3" customWidth="1"/>
    <col min="1800" max="2048" width="8.85546875" style="3"/>
    <col min="2049" max="2049" width="34.7109375" style="3" customWidth="1"/>
    <col min="2050" max="2050" width="17.7109375" style="3" customWidth="1"/>
    <col min="2051" max="2051" width="13.140625" style="3" bestFit="1" customWidth="1"/>
    <col min="2052" max="2052" width="12.28515625" style="3" customWidth="1"/>
    <col min="2053" max="2053" width="18.140625" style="3" bestFit="1" customWidth="1"/>
    <col min="2054" max="2055" width="18.140625" style="3" customWidth="1"/>
    <col min="2056" max="2304" width="8.85546875" style="3"/>
    <col min="2305" max="2305" width="34.7109375" style="3" customWidth="1"/>
    <col min="2306" max="2306" width="17.7109375" style="3" customWidth="1"/>
    <col min="2307" max="2307" width="13.140625" style="3" bestFit="1" customWidth="1"/>
    <col min="2308" max="2308" width="12.28515625" style="3" customWidth="1"/>
    <col min="2309" max="2309" width="18.140625" style="3" bestFit="1" customWidth="1"/>
    <col min="2310" max="2311" width="18.140625" style="3" customWidth="1"/>
    <col min="2312" max="2560" width="8.85546875" style="3"/>
    <col min="2561" max="2561" width="34.7109375" style="3" customWidth="1"/>
    <col min="2562" max="2562" width="17.7109375" style="3" customWidth="1"/>
    <col min="2563" max="2563" width="13.140625" style="3" bestFit="1" customWidth="1"/>
    <col min="2564" max="2564" width="12.28515625" style="3" customWidth="1"/>
    <col min="2565" max="2565" width="18.140625" style="3" bestFit="1" customWidth="1"/>
    <col min="2566" max="2567" width="18.140625" style="3" customWidth="1"/>
    <col min="2568" max="2816" width="8.85546875" style="3"/>
    <col min="2817" max="2817" width="34.7109375" style="3" customWidth="1"/>
    <col min="2818" max="2818" width="17.7109375" style="3" customWidth="1"/>
    <col min="2819" max="2819" width="13.140625" style="3" bestFit="1" customWidth="1"/>
    <col min="2820" max="2820" width="12.28515625" style="3" customWidth="1"/>
    <col min="2821" max="2821" width="18.140625" style="3" bestFit="1" customWidth="1"/>
    <col min="2822" max="2823" width="18.140625" style="3" customWidth="1"/>
    <col min="2824" max="3072" width="8.85546875" style="3"/>
    <col min="3073" max="3073" width="34.7109375" style="3" customWidth="1"/>
    <col min="3074" max="3074" width="17.7109375" style="3" customWidth="1"/>
    <col min="3075" max="3075" width="13.140625" style="3" bestFit="1" customWidth="1"/>
    <col min="3076" max="3076" width="12.28515625" style="3" customWidth="1"/>
    <col min="3077" max="3077" width="18.140625" style="3" bestFit="1" customWidth="1"/>
    <col min="3078" max="3079" width="18.140625" style="3" customWidth="1"/>
    <col min="3080" max="3328" width="8.85546875" style="3"/>
    <col min="3329" max="3329" width="34.7109375" style="3" customWidth="1"/>
    <col min="3330" max="3330" width="17.7109375" style="3" customWidth="1"/>
    <col min="3331" max="3331" width="13.140625" style="3" bestFit="1" customWidth="1"/>
    <col min="3332" max="3332" width="12.28515625" style="3" customWidth="1"/>
    <col min="3333" max="3333" width="18.140625" style="3" bestFit="1" customWidth="1"/>
    <col min="3334" max="3335" width="18.140625" style="3" customWidth="1"/>
    <col min="3336" max="3584" width="8.85546875" style="3"/>
    <col min="3585" max="3585" width="34.7109375" style="3" customWidth="1"/>
    <col min="3586" max="3586" width="17.7109375" style="3" customWidth="1"/>
    <col min="3587" max="3587" width="13.140625" style="3" bestFit="1" customWidth="1"/>
    <col min="3588" max="3588" width="12.28515625" style="3" customWidth="1"/>
    <col min="3589" max="3589" width="18.140625" style="3" bestFit="1" customWidth="1"/>
    <col min="3590" max="3591" width="18.140625" style="3" customWidth="1"/>
    <col min="3592" max="3840" width="8.85546875" style="3"/>
    <col min="3841" max="3841" width="34.7109375" style="3" customWidth="1"/>
    <col min="3842" max="3842" width="17.7109375" style="3" customWidth="1"/>
    <col min="3843" max="3843" width="13.140625" style="3" bestFit="1" customWidth="1"/>
    <col min="3844" max="3844" width="12.28515625" style="3" customWidth="1"/>
    <col min="3845" max="3845" width="18.140625" style="3" bestFit="1" customWidth="1"/>
    <col min="3846" max="3847" width="18.140625" style="3" customWidth="1"/>
    <col min="3848" max="4096" width="8.85546875" style="3"/>
    <col min="4097" max="4097" width="34.7109375" style="3" customWidth="1"/>
    <col min="4098" max="4098" width="17.7109375" style="3" customWidth="1"/>
    <col min="4099" max="4099" width="13.140625" style="3" bestFit="1" customWidth="1"/>
    <col min="4100" max="4100" width="12.28515625" style="3" customWidth="1"/>
    <col min="4101" max="4101" width="18.140625" style="3" bestFit="1" customWidth="1"/>
    <col min="4102" max="4103" width="18.140625" style="3" customWidth="1"/>
    <col min="4104" max="4352" width="8.85546875" style="3"/>
    <col min="4353" max="4353" width="34.7109375" style="3" customWidth="1"/>
    <col min="4354" max="4354" width="17.7109375" style="3" customWidth="1"/>
    <col min="4355" max="4355" width="13.140625" style="3" bestFit="1" customWidth="1"/>
    <col min="4356" max="4356" width="12.28515625" style="3" customWidth="1"/>
    <col min="4357" max="4357" width="18.140625" style="3" bestFit="1" customWidth="1"/>
    <col min="4358" max="4359" width="18.140625" style="3" customWidth="1"/>
    <col min="4360" max="4608" width="8.85546875" style="3"/>
    <col min="4609" max="4609" width="34.7109375" style="3" customWidth="1"/>
    <col min="4610" max="4610" width="17.7109375" style="3" customWidth="1"/>
    <col min="4611" max="4611" width="13.140625" style="3" bestFit="1" customWidth="1"/>
    <col min="4612" max="4612" width="12.28515625" style="3" customWidth="1"/>
    <col min="4613" max="4613" width="18.140625" style="3" bestFit="1" customWidth="1"/>
    <col min="4614" max="4615" width="18.140625" style="3" customWidth="1"/>
    <col min="4616" max="4864" width="8.85546875" style="3"/>
    <col min="4865" max="4865" width="34.7109375" style="3" customWidth="1"/>
    <col min="4866" max="4866" width="17.7109375" style="3" customWidth="1"/>
    <col min="4867" max="4867" width="13.140625" style="3" bestFit="1" customWidth="1"/>
    <col min="4868" max="4868" width="12.28515625" style="3" customWidth="1"/>
    <col min="4869" max="4869" width="18.140625" style="3" bestFit="1" customWidth="1"/>
    <col min="4870" max="4871" width="18.140625" style="3" customWidth="1"/>
    <col min="4872" max="5120" width="8.85546875" style="3"/>
    <col min="5121" max="5121" width="34.7109375" style="3" customWidth="1"/>
    <col min="5122" max="5122" width="17.7109375" style="3" customWidth="1"/>
    <col min="5123" max="5123" width="13.140625" style="3" bestFit="1" customWidth="1"/>
    <col min="5124" max="5124" width="12.28515625" style="3" customWidth="1"/>
    <col min="5125" max="5125" width="18.140625" style="3" bestFit="1" customWidth="1"/>
    <col min="5126" max="5127" width="18.140625" style="3" customWidth="1"/>
    <col min="5128" max="5376" width="8.85546875" style="3"/>
    <col min="5377" max="5377" width="34.7109375" style="3" customWidth="1"/>
    <col min="5378" max="5378" width="17.7109375" style="3" customWidth="1"/>
    <col min="5379" max="5379" width="13.140625" style="3" bestFit="1" customWidth="1"/>
    <col min="5380" max="5380" width="12.28515625" style="3" customWidth="1"/>
    <col min="5381" max="5381" width="18.140625" style="3" bestFit="1" customWidth="1"/>
    <col min="5382" max="5383" width="18.140625" style="3" customWidth="1"/>
    <col min="5384" max="5632" width="8.85546875" style="3"/>
    <col min="5633" max="5633" width="34.7109375" style="3" customWidth="1"/>
    <col min="5634" max="5634" width="17.7109375" style="3" customWidth="1"/>
    <col min="5635" max="5635" width="13.140625" style="3" bestFit="1" customWidth="1"/>
    <col min="5636" max="5636" width="12.28515625" style="3" customWidth="1"/>
    <col min="5637" max="5637" width="18.140625" style="3" bestFit="1" customWidth="1"/>
    <col min="5638" max="5639" width="18.140625" style="3" customWidth="1"/>
    <col min="5640" max="5888" width="8.85546875" style="3"/>
    <col min="5889" max="5889" width="34.7109375" style="3" customWidth="1"/>
    <col min="5890" max="5890" width="17.7109375" style="3" customWidth="1"/>
    <col min="5891" max="5891" width="13.140625" style="3" bestFit="1" customWidth="1"/>
    <col min="5892" max="5892" width="12.28515625" style="3" customWidth="1"/>
    <col min="5893" max="5893" width="18.140625" style="3" bestFit="1" customWidth="1"/>
    <col min="5894" max="5895" width="18.140625" style="3" customWidth="1"/>
    <col min="5896" max="6144" width="8.85546875" style="3"/>
    <col min="6145" max="6145" width="34.7109375" style="3" customWidth="1"/>
    <col min="6146" max="6146" width="17.7109375" style="3" customWidth="1"/>
    <col min="6147" max="6147" width="13.140625" style="3" bestFit="1" customWidth="1"/>
    <col min="6148" max="6148" width="12.28515625" style="3" customWidth="1"/>
    <col min="6149" max="6149" width="18.140625" style="3" bestFit="1" customWidth="1"/>
    <col min="6150" max="6151" width="18.140625" style="3" customWidth="1"/>
    <col min="6152" max="6400" width="8.85546875" style="3"/>
    <col min="6401" max="6401" width="34.7109375" style="3" customWidth="1"/>
    <col min="6402" max="6402" width="17.7109375" style="3" customWidth="1"/>
    <col min="6403" max="6403" width="13.140625" style="3" bestFit="1" customWidth="1"/>
    <col min="6404" max="6404" width="12.28515625" style="3" customWidth="1"/>
    <col min="6405" max="6405" width="18.140625" style="3" bestFit="1" customWidth="1"/>
    <col min="6406" max="6407" width="18.140625" style="3" customWidth="1"/>
    <col min="6408" max="6656" width="8.85546875" style="3"/>
    <col min="6657" max="6657" width="34.7109375" style="3" customWidth="1"/>
    <col min="6658" max="6658" width="17.7109375" style="3" customWidth="1"/>
    <col min="6659" max="6659" width="13.140625" style="3" bestFit="1" customWidth="1"/>
    <col min="6660" max="6660" width="12.28515625" style="3" customWidth="1"/>
    <col min="6661" max="6661" width="18.140625" style="3" bestFit="1" customWidth="1"/>
    <col min="6662" max="6663" width="18.140625" style="3" customWidth="1"/>
    <col min="6664" max="6912" width="8.85546875" style="3"/>
    <col min="6913" max="6913" width="34.7109375" style="3" customWidth="1"/>
    <col min="6914" max="6914" width="17.7109375" style="3" customWidth="1"/>
    <col min="6915" max="6915" width="13.140625" style="3" bestFit="1" customWidth="1"/>
    <col min="6916" max="6916" width="12.28515625" style="3" customWidth="1"/>
    <col min="6917" max="6917" width="18.140625" style="3" bestFit="1" customWidth="1"/>
    <col min="6918" max="6919" width="18.140625" style="3" customWidth="1"/>
    <col min="6920" max="7168" width="8.85546875" style="3"/>
    <col min="7169" max="7169" width="34.7109375" style="3" customWidth="1"/>
    <col min="7170" max="7170" width="17.7109375" style="3" customWidth="1"/>
    <col min="7171" max="7171" width="13.140625" style="3" bestFit="1" customWidth="1"/>
    <col min="7172" max="7172" width="12.28515625" style="3" customWidth="1"/>
    <col min="7173" max="7173" width="18.140625" style="3" bestFit="1" customWidth="1"/>
    <col min="7174" max="7175" width="18.140625" style="3" customWidth="1"/>
    <col min="7176" max="7424" width="8.85546875" style="3"/>
    <col min="7425" max="7425" width="34.7109375" style="3" customWidth="1"/>
    <col min="7426" max="7426" width="17.7109375" style="3" customWidth="1"/>
    <col min="7427" max="7427" width="13.140625" style="3" bestFit="1" customWidth="1"/>
    <col min="7428" max="7428" width="12.28515625" style="3" customWidth="1"/>
    <col min="7429" max="7429" width="18.140625" style="3" bestFit="1" customWidth="1"/>
    <col min="7430" max="7431" width="18.140625" style="3" customWidth="1"/>
    <col min="7432" max="7680" width="8.85546875" style="3"/>
    <col min="7681" max="7681" width="34.7109375" style="3" customWidth="1"/>
    <col min="7682" max="7682" width="17.7109375" style="3" customWidth="1"/>
    <col min="7683" max="7683" width="13.140625" style="3" bestFit="1" customWidth="1"/>
    <col min="7684" max="7684" width="12.28515625" style="3" customWidth="1"/>
    <col min="7685" max="7685" width="18.140625" style="3" bestFit="1" customWidth="1"/>
    <col min="7686" max="7687" width="18.140625" style="3" customWidth="1"/>
    <col min="7688" max="7936" width="8.85546875" style="3"/>
    <col min="7937" max="7937" width="34.7109375" style="3" customWidth="1"/>
    <col min="7938" max="7938" width="17.7109375" style="3" customWidth="1"/>
    <col min="7939" max="7939" width="13.140625" style="3" bestFit="1" customWidth="1"/>
    <col min="7940" max="7940" width="12.28515625" style="3" customWidth="1"/>
    <col min="7941" max="7941" width="18.140625" style="3" bestFit="1" customWidth="1"/>
    <col min="7942" max="7943" width="18.140625" style="3" customWidth="1"/>
    <col min="7944" max="8192" width="8.85546875" style="3"/>
    <col min="8193" max="8193" width="34.7109375" style="3" customWidth="1"/>
    <col min="8194" max="8194" width="17.7109375" style="3" customWidth="1"/>
    <col min="8195" max="8195" width="13.140625" style="3" bestFit="1" customWidth="1"/>
    <col min="8196" max="8196" width="12.28515625" style="3" customWidth="1"/>
    <col min="8197" max="8197" width="18.140625" style="3" bestFit="1" customWidth="1"/>
    <col min="8198" max="8199" width="18.140625" style="3" customWidth="1"/>
    <col min="8200" max="8448" width="8.85546875" style="3"/>
    <col min="8449" max="8449" width="34.7109375" style="3" customWidth="1"/>
    <col min="8450" max="8450" width="17.7109375" style="3" customWidth="1"/>
    <col min="8451" max="8451" width="13.140625" style="3" bestFit="1" customWidth="1"/>
    <col min="8452" max="8452" width="12.28515625" style="3" customWidth="1"/>
    <col min="8453" max="8453" width="18.140625" style="3" bestFit="1" customWidth="1"/>
    <col min="8454" max="8455" width="18.140625" style="3" customWidth="1"/>
    <col min="8456" max="8704" width="8.85546875" style="3"/>
    <col min="8705" max="8705" width="34.7109375" style="3" customWidth="1"/>
    <col min="8706" max="8706" width="17.7109375" style="3" customWidth="1"/>
    <col min="8707" max="8707" width="13.140625" style="3" bestFit="1" customWidth="1"/>
    <col min="8708" max="8708" width="12.28515625" style="3" customWidth="1"/>
    <col min="8709" max="8709" width="18.140625" style="3" bestFit="1" customWidth="1"/>
    <col min="8710" max="8711" width="18.140625" style="3" customWidth="1"/>
    <col min="8712" max="8960" width="8.85546875" style="3"/>
    <col min="8961" max="8961" width="34.7109375" style="3" customWidth="1"/>
    <col min="8962" max="8962" width="17.7109375" style="3" customWidth="1"/>
    <col min="8963" max="8963" width="13.140625" style="3" bestFit="1" customWidth="1"/>
    <col min="8964" max="8964" width="12.28515625" style="3" customWidth="1"/>
    <col min="8965" max="8965" width="18.140625" style="3" bestFit="1" customWidth="1"/>
    <col min="8966" max="8967" width="18.140625" style="3" customWidth="1"/>
    <col min="8968" max="9216" width="8.85546875" style="3"/>
    <col min="9217" max="9217" width="34.7109375" style="3" customWidth="1"/>
    <col min="9218" max="9218" width="17.7109375" style="3" customWidth="1"/>
    <col min="9219" max="9219" width="13.140625" style="3" bestFit="1" customWidth="1"/>
    <col min="9220" max="9220" width="12.28515625" style="3" customWidth="1"/>
    <col min="9221" max="9221" width="18.140625" style="3" bestFit="1" customWidth="1"/>
    <col min="9222" max="9223" width="18.140625" style="3" customWidth="1"/>
    <col min="9224" max="9472" width="8.85546875" style="3"/>
    <col min="9473" max="9473" width="34.7109375" style="3" customWidth="1"/>
    <col min="9474" max="9474" width="17.7109375" style="3" customWidth="1"/>
    <col min="9475" max="9475" width="13.140625" style="3" bestFit="1" customWidth="1"/>
    <col min="9476" max="9476" width="12.28515625" style="3" customWidth="1"/>
    <col min="9477" max="9477" width="18.140625" style="3" bestFit="1" customWidth="1"/>
    <col min="9478" max="9479" width="18.140625" style="3" customWidth="1"/>
    <col min="9480" max="9728" width="8.85546875" style="3"/>
    <col min="9729" max="9729" width="34.7109375" style="3" customWidth="1"/>
    <col min="9730" max="9730" width="17.7109375" style="3" customWidth="1"/>
    <col min="9731" max="9731" width="13.140625" style="3" bestFit="1" customWidth="1"/>
    <col min="9732" max="9732" width="12.28515625" style="3" customWidth="1"/>
    <col min="9733" max="9733" width="18.140625" style="3" bestFit="1" customWidth="1"/>
    <col min="9734" max="9735" width="18.140625" style="3" customWidth="1"/>
    <col min="9736" max="9984" width="8.85546875" style="3"/>
    <col min="9985" max="9985" width="34.7109375" style="3" customWidth="1"/>
    <col min="9986" max="9986" width="17.7109375" style="3" customWidth="1"/>
    <col min="9987" max="9987" width="13.140625" style="3" bestFit="1" customWidth="1"/>
    <col min="9988" max="9988" width="12.28515625" style="3" customWidth="1"/>
    <col min="9989" max="9989" width="18.140625" style="3" bestFit="1" customWidth="1"/>
    <col min="9990" max="9991" width="18.140625" style="3" customWidth="1"/>
    <col min="9992" max="10240" width="8.85546875" style="3"/>
    <col min="10241" max="10241" width="34.7109375" style="3" customWidth="1"/>
    <col min="10242" max="10242" width="17.7109375" style="3" customWidth="1"/>
    <col min="10243" max="10243" width="13.140625" style="3" bestFit="1" customWidth="1"/>
    <col min="10244" max="10244" width="12.28515625" style="3" customWidth="1"/>
    <col min="10245" max="10245" width="18.140625" style="3" bestFit="1" customWidth="1"/>
    <col min="10246" max="10247" width="18.140625" style="3" customWidth="1"/>
    <col min="10248" max="10496" width="8.85546875" style="3"/>
    <col min="10497" max="10497" width="34.7109375" style="3" customWidth="1"/>
    <col min="10498" max="10498" width="17.7109375" style="3" customWidth="1"/>
    <col min="10499" max="10499" width="13.140625" style="3" bestFit="1" customWidth="1"/>
    <col min="10500" max="10500" width="12.28515625" style="3" customWidth="1"/>
    <col min="10501" max="10501" width="18.140625" style="3" bestFit="1" customWidth="1"/>
    <col min="10502" max="10503" width="18.140625" style="3" customWidth="1"/>
    <col min="10504" max="10752" width="8.85546875" style="3"/>
    <col min="10753" max="10753" width="34.7109375" style="3" customWidth="1"/>
    <col min="10754" max="10754" width="17.7109375" style="3" customWidth="1"/>
    <col min="10755" max="10755" width="13.140625" style="3" bestFit="1" customWidth="1"/>
    <col min="10756" max="10756" width="12.28515625" style="3" customWidth="1"/>
    <col min="10757" max="10757" width="18.140625" style="3" bestFit="1" customWidth="1"/>
    <col min="10758" max="10759" width="18.140625" style="3" customWidth="1"/>
    <col min="10760" max="11008" width="8.85546875" style="3"/>
    <col min="11009" max="11009" width="34.7109375" style="3" customWidth="1"/>
    <col min="11010" max="11010" width="17.7109375" style="3" customWidth="1"/>
    <col min="11011" max="11011" width="13.140625" style="3" bestFit="1" customWidth="1"/>
    <col min="11012" max="11012" width="12.28515625" style="3" customWidth="1"/>
    <col min="11013" max="11013" width="18.140625" style="3" bestFit="1" customWidth="1"/>
    <col min="11014" max="11015" width="18.140625" style="3" customWidth="1"/>
    <col min="11016" max="11264" width="8.85546875" style="3"/>
    <col min="11265" max="11265" width="34.7109375" style="3" customWidth="1"/>
    <col min="11266" max="11266" width="17.7109375" style="3" customWidth="1"/>
    <col min="11267" max="11267" width="13.140625" style="3" bestFit="1" customWidth="1"/>
    <col min="11268" max="11268" width="12.28515625" style="3" customWidth="1"/>
    <col min="11269" max="11269" width="18.140625" style="3" bestFit="1" customWidth="1"/>
    <col min="11270" max="11271" width="18.140625" style="3" customWidth="1"/>
    <col min="11272" max="11520" width="8.85546875" style="3"/>
    <col min="11521" max="11521" width="34.7109375" style="3" customWidth="1"/>
    <col min="11522" max="11522" width="17.7109375" style="3" customWidth="1"/>
    <col min="11523" max="11523" width="13.140625" style="3" bestFit="1" customWidth="1"/>
    <col min="11524" max="11524" width="12.28515625" style="3" customWidth="1"/>
    <col min="11525" max="11525" width="18.140625" style="3" bestFit="1" customWidth="1"/>
    <col min="11526" max="11527" width="18.140625" style="3" customWidth="1"/>
    <col min="11528" max="11776" width="8.85546875" style="3"/>
    <col min="11777" max="11777" width="34.7109375" style="3" customWidth="1"/>
    <col min="11778" max="11778" width="17.7109375" style="3" customWidth="1"/>
    <col min="11779" max="11779" width="13.140625" style="3" bestFit="1" customWidth="1"/>
    <col min="11780" max="11780" width="12.28515625" style="3" customWidth="1"/>
    <col min="11781" max="11781" width="18.140625" style="3" bestFit="1" customWidth="1"/>
    <col min="11782" max="11783" width="18.140625" style="3" customWidth="1"/>
    <col min="11784" max="12032" width="8.85546875" style="3"/>
    <col min="12033" max="12033" width="34.7109375" style="3" customWidth="1"/>
    <col min="12034" max="12034" width="17.7109375" style="3" customWidth="1"/>
    <col min="12035" max="12035" width="13.140625" style="3" bestFit="1" customWidth="1"/>
    <col min="12036" max="12036" width="12.28515625" style="3" customWidth="1"/>
    <col min="12037" max="12037" width="18.140625" style="3" bestFit="1" customWidth="1"/>
    <col min="12038" max="12039" width="18.140625" style="3" customWidth="1"/>
    <col min="12040" max="12288" width="8.85546875" style="3"/>
    <col min="12289" max="12289" width="34.7109375" style="3" customWidth="1"/>
    <col min="12290" max="12290" width="17.7109375" style="3" customWidth="1"/>
    <col min="12291" max="12291" width="13.140625" style="3" bestFit="1" customWidth="1"/>
    <col min="12292" max="12292" width="12.28515625" style="3" customWidth="1"/>
    <col min="12293" max="12293" width="18.140625" style="3" bestFit="1" customWidth="1"/>
    <col min="12294" max="12295" width="18.140625" style="3" customWidth="1"/>
    <col min="12296" max="12544" width="8.85546875" style="3"/>
    <col min="12545" max="12545" width="34.7109375" style="3" customWidth="1"/>
    <col min="12546" max="12546" width="17.7109375" style="3" customWidth="1"/>
    <col min="12547" max="12547" width="13.140625" style="3" bestFit="1" customWidth="1"/>
    <col min="12548" max="12548" width="12.28515625" style="3" customWidth="1"/>
    <col min="12549" max="12549" width="18.140625" style="3" bestFit="1" customWidth="1"/>
    <col min="12550" max="12551" width="18.140625" style="3" customWidth="1"/>
    <col min="12552" max="12800" width="8.85546875" style="3"/>
    <col min="12801" max="12801" width="34.7109375" style="3" customWidth="1"/>
    <col min="12802" max="12802" width="17.7109375" style="3" customWidth="1"/>
    <col min="12803" max="12803" width="13.140625" style="3" bestFit="1" customWidth="1"/>
    <col min="12804" max="12804" width="12.28515625" style="3" customWidth="1"/>
    <col min="12805" max="12805" width="18.140625" style="3" bestFit="1" customWidth="1"/>
    <col min="12806" max="12807" width="18.140625" style="3" customWidth="1"/>
    <col min="12808" max="13056" width="8.85546875" style="3"/>
    <col min="13057" max="13057" width="34.7109375" style="3" customWidth="1"/>
    <col min="13058" max="13058" width="17.7109375" style="3" customWidth="1"/>
    <col min="13059" max="13059" width="13.140625" style="3" bestFit="1" customWidth="1"/>
    <col min="13060" max="13060" width="12.28515625" style="3" customWidth="1"/>
    <col min="13061" max="13061" width="18.140625" style="3" bestFit="1" customWidth="1"/>
    <col min="13062" max="13063" width="18.140625" style="3" customWidth="1"/>
    <col min="13064" max="13312" width="8.85546875" style="3"/>
    <col min="13313" max="13313" width="34.7109375" style="3" customWidth="1"/>
    <col min="13314" max="13314" width="17.7109375" style="3" customWidth="1"/>
    <col min="13315" max="13315" width="13.140625" style="3" bestFit="1" customWidth="1"/>
    <col min="13316" max="13316" width="12.28515625" style="3" customWidth="1"/>
    <col min="13317" max="13317" width="18.140625" style="3" bestFit="1" customWidth="1"/>
    <col min="13318" max="13319" width="18.140625" style="3" customWidth="1"/>
    <col min="13320" max="13568" width="8.85546875" style="3"/>
    <col min="13569" max="13569" width="34.7109375" style="3" customWidth="1"/>
    <col min="13570" max="13570" width="17.7109375" style="3" customWidth="1"/>
    <col min="13571" max="13571" width="13.140625" style="3" bestFit="1" customWidth="1"/>
    <col min="13572" max="13572" width="12.28515625" style="3" customWidth="1"/>
    <col min="13573" max="13573" width="18.140625" style="3" bestFit="1" customWidth="1"/>
    <col min="13574" max="13575" width="18.140625" style="3" customWidth="1"/>
    <col min="13576" max="13824" width="8.85546875" style="3"/>
    <col min="13825" max="13825" width="34.7109375" style="3" customWidth="1"/>
    <col min="13826" max="13826" width="17.7109375" style="3" customWidth="1"/>
    <col min="13827" max="13827" width="13.140625" style="3" bestFit="1" customWidth="1"/>
    <col min="13828" max="13828" width="12.28515625" style="3" customWidth="1"/>
    <col min="13829" max="13829" width="18.140625" style="3" bestFit="1" customWidth="1"/>
    <col min="13830" max="13831" width="18.140625" style="3" customWidth="1"/>
    <col min="13832" max="14080" width="8.85546875" style="3"/>
    <col min="14081" max="14081" width="34.7109375" style="3" customWidth="1"/>
    <col min="14082" max="14082" width="17.7109375" style="3" customWidth="1"/>
    <col min="14083" max="14083" width="13.140625" style="3" bestFit="1" customWidth="1"/>
    <col min="14084" max="14084" width="12.28515625" style="3" customWidth="1"/>
    <col min="14085" max="14085" width="18.140625" style="3" bestFit="1" customWidth="1"/>
    <col min="14086" max="14087" width="18.140625" style="3" customWidth="1"/>
    <col min="14088" max="14336" width="8.85546875" style="3"/>
    <col min="14337" max="14337" width="34.7109375" style="3" customWidth="1"/>
    <col min="14338" max="14338" width="17.7109375" style="3" customWidth="1"/>
    <col min="14339" max="14339" width="13.140625" style="3" bestFit="1" customWidth="1"/>
    <col min="14340" max="14340" width="12.28515625" style="3" customWidth="1"/>
    <col min="14341" max="14341" width="18.140625" style="3" bestFit="1" customWidth="1"/>
    <col min="14342" max="14343" width="18.140625" style="3" customWidth="1"/>
    <col min="14344" max="14592" width="8.85546875" style="3"/>
    <col min="14593" max="14593" width="34.7109375" style="3" customWidth="1"/>
    <col min="14594" max="14594" width="17.7109375" style="3" customWidth="1"/>
    <col min="14595" max="14595" width="13.140625" style="3" bestFit="1" customWidth="1"/>
    <col min="14596" max="14596" width="12.28515625" style="3" customWidth="1"/>
    <col min="14597" max="14597" width="18.140625" style="3" bestFit="1" customWidth="1"/>
    <col min="14598" max="14599" width="18.140625" style="3" customWidth="1"/>
    <col min="14600" max="14848" width="8.85546875" style="3"/>
    <col min="14849" max="14849" width="34.7109375" style="3" customWidth="1"/>
    <col min="14850" max="14850" width="17.7109375" style="3" customWidth="1"/>
    <col min="14851" max="14851" width="13.140625" style="3" bestFit="1" customWidth="1"/>
    <col min="14852" max="14852" width="12.28515625" style="3" customWidth="1"/>
    <col min="14853" max="14853" width="18.140625" style="3" bestFit="1" customWidth="1"/>
    <col min="14854" max="14855" width="18.140625" style="3" customWidth="1"/>
    <col min="14856" max="15104" width="8.85546875" style="3"/>
    <col min="15105" max="15105" width="34.7109375" style="3" customWidth="1"/>
    <col min="15106" max="15106" width="17.7109375" style="3" customWidth="1"/>
    <col min="15107" max="15107" width="13.140625" style="3" bestFit="1" customWidth="1"/>
    <col min="15108" max="15108" width="12.28515625" style="3" customWidth="1"/>
    <col min="15109" max="15109" width="18.140625" style="3" bestFit="1" customWidth="1"/>
    <col min="15110" max="15111" width="18.140625" style="3" customWidth="1"/>
    <col min="15112" max="15360" width="8.85546875" style="3"/>
    <col min="15361" max="15361" width="34.7109375" style="3" customWidth="1"/>
    <col min="15362" max="15362" width="17.7109375" style="3" customWidth="1"/>
    <col min="15363" max="15363" width="13.140625" style="3" bestFit="1" customWidth="1"/>
    <col min="15364" max="15364" width="12.28515625" style="3" customWidth="1"/>
    <col min="15365" max="15365" width="18.140625" style="3" bestFit="1" customWidth="1"/>
    <col min="15366" max="15367" width="18.140625" style="3" customWidth="1"/>
    <col min="15368" max="15616" width="8.85546875" style="3"/>
    <col min="15617" max="15617" width="34.7109375" style="3" customWidth="1"/>
    <col min="15618" max="15618" width="17.7109375" style="3" customWidth="1"/>
    <col min="15619" max="15619" width="13.140625" style="3" bestFit="1" customWidth="1"/>
    <col min="15620" max="15620" width="12.28515625" style="3" customWidth="1"/>
    <col min="15621" max="15621" width="18.140625" style="3" bestFit="1" customWidth="1"/>
    <col min="15622" max="15623" width="18.140625" style="3" customWidth="1"/>
    <col min="15624" max="15872" width="8.85546875" style="3"/>
    <col min="15873" max="15873" width="34.7109375" style="3" customWidth="1"/>
    <col min="15874" max="15874" width="17.7109375" style="3" customWidth="1"/>
    <col min="15875" max="15875" width="13.140625" style="3" bestFit="1" customWidth="1"/>
    <col min="15876" max="15876" width="12.28515625" style="3" customWidth="1"/>
    <col min="15877" max="15877" width="18.140625" style="3" bestFit="1" customWidth="1"/>
    <col min="15878" max="15879" width="18.140625" style="3" customWidth="1"/>
    <col min="15880" max="16128" width="8.85546875" style="3"/>
    <col min="16129" max="16129" width="34.7109375" style="3" customWidth="1"/>
    <col min="16130" max="16130" width="17.7109375" style="3" customWidth="1"/>
    <col min="16131" max="16131" width="13.140625" style="3" bestFit="1" customWidth="1"/>
    <col min="16132" max="16132" width="12.28515625" style="3" customWidth="1"/>
    <col min="16133" max="16133" width="18.140625" style="3" bestFit="1" customWidth="1"/>
    <col min="16134" max="16135" width="18.140625" style="3" customWidth="1"/>
    <col min="16136" max="16384" width="8.85546875" style="3"/>
  </cols>
  <sheetData>
    <row r="1" spans="1:14" x14ac:dyDescent="0.25">
      <c r="A1" s="202" t="s">
        <v>210</v>
      </c>
      <c r="B1" s="203"/>
      <c r="C1" s="203"/>
      <c r="D1" s="200"/>
      <c r="E1" s="200"/>
      <c r="F1" s="200"/>
      <c r="G1" s="200"/>
      <c r="H1" s="200"/>
      <c r="I1" s="200"/>
      <c r="J1" s="200"/>
    </row>
    <row r="3" spans="1:14" ht="60" x14ac:dyDescent="0.25">
      <c r="C3" s="129">
        <v>2022</v>
      </c>
      <c r="D3" s="129">
        <v>2023</v>
      </c>
      <c r="E3" s="129">
        <v>2024</v>
      </c>
      <c r="F3" s="4"/>
      <c r="G3" s="4"/>
      <c r="H3" s="4"/>
      <c r="K3" s="35" t="s">
        <v>29</v>
      </c>
      <c r="L3" s="35" t="s">
        <v>30</v>
      </c>
      <c r="M3" s="36" t="s">
        <v>31</v>
      </c>
      <c r="N3" s="36" t="s">
        <v>32</v>
      </c>
    </row>
    <row r="4" spans="1:14" x14ac:dyDescent="0.25">
      <c r="C4" s="5"/>
      <c r="D4" s="5"/>
      <c r="E4" s="5"/>
      <c r="F4" s="5"/>
      <c r="G4" s="5"/>
      <c r="H4" s="5"/>
      <c r="K4" s="61" t="s">
        <v>33</v>
      </c>
      <c r="L4" s="62" t="s">
        <v>34</v>
      </c>
      <c r="M4" s="63">
        <v>0.29499999999999998</v>
      </c>
      <c r="N4" s="63">
        <v>0.33500000000000002</v>
      </c>
    </row>
    <row r="5" spans="1:14" x14ac:dyDescent="0.25">
      <c r="B5" s="6" t="s">
        <v>141</v>
      </c>
      <c r="C5" s="31">
        <f>163517.36+1120028.91+195690.7</f>
        <v>1479236.97</v>
      </c>
      <c r="D5" s="31">
        <f>185496.18+1371416.58+193571.35</f>
        <v>1750484.11</v>
      </c>
      <c r="E5" s="31">
        <f>200327.36+1323070.88+219772.54</f>
        <v>1743170.7799999998</v>
      </c>
      <c r="F5" s="5"/>
      <c r="G5" s="5"/>
      <c r="H5" s="5"/>
      <c r="K5" s="2" t="s">
        <v>35</v>
      </c>
      <c r="L5" s="2" t="s">
        <v>36</v>
      </c>
      <c r="M5" s="37">
        <v>0.28599999999999998</v>
      </c>
      <c r="N5" s="37">
        <v>0.32600000000000001</v>
      </c>
    </row>
    <row r="6" spans="1:14" x14ac:dyDescent="0.25">
      <c r="C6" s="7"/>
      <c r="D6" s="7"/>
      <c r="E6" s="7"/>
      <c r="F6" s="5"/>
      <c r="G6" s="5"/>
      <c r="H6" s="5"/>
      <c r="K6" s="2" t="s">
        <v>26</v>
      </c>
      <c r="L6" s="2" t="s">
        <v>37</v>
      </c>
      <c r="M6" s="37">
        <v>0.27600000000000002</v>
      </c>
      <c r="N6" s="37">
        <v>0.316</v>
      </c>
    </row>
    <row r="7" spans="1:14" x14ac:dyDescent="0.25">
      <c r="B7" s="6" t="s">
        <v>171</v>
      </c>
      <c r="C7" s="8">
        <v>8386.18</v>
      </c>
      <c r="D7" s="7"/>
      <c r="E7" s="7"/>
      <c r="K7" s="2" t="s">
        <v>22</v>
      </c>
      <c r="L7" s="2" t="s">
        <v>38</v>
      </c>
      <c r="M7" s="37">
        <v>0.27200000000000002</v>
      </c>
      <c r="N7" s="37">
        <v>0.312</v>
      </c>
    </row>
    <row r="8" spans="1:14" x14ac:dyDescent="0.25">
      <c r="K8" s="2" t="s">
        <v>39</v>
      </c>
      <c r="L8" s="2" t="s">
        <v>40</v>
      </c>
      <c r="M8" s="37">
        <v>0.26900000000000002</v>
      </c>
      <c r="N8" s="37">
        <v>0.309</v>
      </c>
    </row>
    <row r="9" spans="1:14" x14ac:dyDescent="0.25">
      <c r="C9" s="9"/>
      <c r="G9" s="9"/>
      <c r="H9" s="9"/>
      <c r="K9" s="39" t="s">
        <v>41</v>
      </c>
      <c r="L9" s="39" t="s">
        <v>42</v>
      </c>
      <c r="M9" s="40">
        <v>0.27</v>
      </c>
      <c r="N9" s="40">
        <v>0.31</v>
      </c>
    </row>
    <row r="10" spans="1:14" x14ac:dyDescent="0.25">
      <c r="B10" s="3" t="s">
        <v>170</v>
      </c>
      <c r="C10" s="130">
        <f>+AVERAGE(C5:E5)</f>
        <v>1657630.6199999999</v>
      </c>
      <c r="D10" s="5"/>
      <c r="E10" s="5"/>
      <c r="G10" s="5"/>
      <c r="H10" s="5"/>
      <c r="K10" s="39" t="s">
        <v>43</v>
      </c>
      <c r="L10" s="39" t="s">
        <v>44</v>
      </c>
      <c r="M10" s="40">
        <v>0.27600000000000002</v>
      </c>
      <c r="N10" s="40">
        <v>0.316</v>
      </c>
    </row>
    <row r="11" spans="1:14" x14ac:dyDescent="0.25">
      <c r="B11" t="s">
        <v>171</v>
      </c>
      <c r="C11" s="131">
        <f>-C7</f>
        <v>-8386.18</v>
      </c>
      <c r="D11"/>
      <c r="G11" s="5"/>
      <c r="H11" s="5"/>
      <c r="K11" s="39" t="s">
        <v>45</v>
      </c>
      <c r="L11" s="39" t="s">
        <v>46</v>
      </c>
      <c r="M11" s="40">
        <v>0.28799999999999998</v>
      </c>
      <c r="N11" s="40">
        <v>0.32800000000000001</v>
      </c>
    </row>
    <row r="12" spans="1:14" x14ac:dyDescent="0.25">
      <c r="B12" s="3" t="s">
        <v>125</v>
      </c>
      <c r="C12" s="130">
        <f>+C10+C11</f>
        <v>1649244.44</v>
      </c>
      <c r="E12" s="5"/>
      <c r="G12" s="5"/>
      <c r="H12" s="5"/>
      <c r="K12" s="39" t="s">
        <v>47</v>
      </c>
      <c r="L12" s="39" t="s">
        <v>48</v>
      </c>
      <c r="M12" s="40">
        <v>0.253</v>
      </c>
      <c r="N12" s="40">
        <v>0.29299999999999998</v>
      </c>
    </row>
    <row r="13" spans="1:14" x14ac:dyDescent="0.25">
      <c r="B13" s="7" t="s">
        <v>128</v>
      </c>
      <c r="C13" s="10">
        <f>+M4</f>
        <v>0.29499999999999998</v>
      </c>
      <c r="D13" s="130">
        <f>C12*29.5%</f>
        <v>486527.10979999998</v>
      </c>
      <c r="G13" s="10"/>
      <c r="H13" s="10"/>
      <c r="K13" s="41"/>
      <c r="L13" s="41"/>
      <c r="M13" s="42"/>
      <c r="N13" s="42"/>
    </row>
    <row r="14" spans="1:14" x14ac:dyDescent="0.25">
      <c r="B14" s="7" t="s">
        <v>131</v>
      </c>
      <c r="C14" s="10">
        <f>+N4</f>
        <v>0.33500000000000002</v>
      </c>
      <c r="D14" s="130">
        <f>C12*33.5%</f>
        <v>552496.88740000001</v>
      </c>
      <c r="G14" s="10"/>
      <c r="H14" s="10"/>
      <c r="K14" s="41"/>
      <c r="L14" s="41"/>
      <c r="M14" s="42"/>
      <c r="N14" s="42"/>
    </row>
    <row r="15" spans="1:14" x14ac:dyDescent="0.25">
      <c r="B15" s="7"/>
      <c r="C15" s="10"/>
      <c r="G15" s="10"/>
      <c r="H15" s="10"/>
      <c r="K15" s="41"/>
      <c r="L15" s="41"/>
      <c r="M15" s="42"/>
      <c r="N15" s="42"/>
    </row>
    <row r="16" spans="1:14" x14ac:dyDescent="0.25">
      <c r="C16" s="10"/>
      <c r="G16" s="10"/>
      <c r="H16" s="10"/>
    </row>
    <row r="17" spans="2:23" ht="45" x14ac:dyDescent="0.25">
      <c r="B17" s="11"/>
      <c r="C17" s="12"/>
      <c r="D17" s="12"/>
      <c r="E17" s="132" t="s">
        <v>142</v>
      </c>
      <c r="F17" s="133" t="s">
        <v>143</v>
      </c>
      <c r="G17" s="208" t="s">
        <v>134</v>
      </c>
      <c r="L17" s="34"/>
      <c r="M17" s="64"/>
      <c r="N17" s="34"/>
      <c r="Q17"/>
      <c r="R17"/>
      <c r="S17"/>
      <c r="T17"/>
      <c r="U17"/>
      <c r="V17"/>
      <c r="W17"/>
    </row>
    <row r="18" spans="2:23" x14ac:dyDescent="0.25">
      <c r="B18" s="128" t="s">
        <v>130</v>
      </c>
      <c r="C18" s="6"/>
      <c r="D18" s="6"/>
      <c r="E18" s="130">
        <f>+C12*C13</f>
        <v>486527.10979999998</v>
      </c>
      <c r="F18" s="13">
        <v>245229.6</v>
      </c>
      <c r="G18" s="209"/>
      <c r="H18" s="14"/>
      <c r="M18" s="17"/>
      <c r="O18" s="32"/>
      <c r="P18" s="32"/>
      <c r="Q18" s="1"/>
      <c r="R18" s="1"/>
      <c r="S18" s="1"/>
      <c r="T18" s="1"/>
      <c r="U18" s="1"/>
      <c r="V18"/>
      <c r="W18"/>
    </row>
    <row r="19" spans="2:23" x14ac:dyDescent="0.25">
      <c r="B19" s="15"/>
      <c r="F19" s="16"/>
      <c r="G19" s="209"/>
      <c r="M19" s="32"/>
      <c r="N19" s="32"/>
      <c r="O19" s="32"/>
      <c r="P19" s="32"/>
      <c r="Q19" s="1"/>
      <c r="R19" s="1"/>
      <c r="S19" s="1"/>
      <c r="T19" s="1"/>
      <c r="U19" s="1"/>
      <c r="V19"/>
      <c r="W19"/>
    </row>
    <row r="20" spans="2:23" x14ac:dyDescent="0.25">
      <c r="B20" s="128" t="s">
        <v>172</v>
      </c>
      <c r="F20" s="16"/>
      <c r="G20" s="209"/>
      <c r="H20" s="5"/>
      <c r="M20" s="32"/>
      <c r="N20" s="32"/>
      <c r="O20" s="32"/>
      <c r="P20" s="32"/>
      <c r="Q20" s="1"/>
      <c r="R20" s="1"/>
      <c r="S20" s="1"/>
      <c r="T20" s="1"/>
      <c r="U20" s="1"/>
      <c r="V20"/>
      <c r="W20"/>
    </row>
    <row r="21" spans="2:23" x14ac:dyDescent="0.25">
      <c r="B21" s="204" t="s">
        <v>129</v>
      </c>
      <c r="C21" s="205"/>
      <c r="D21" s="205"/>
      <c r="E21" s="17">
        <v>0</v>
      </c>
      <c r="F21" s="18"/>
      <c r="G21" s="209"/>
      <c r="H21" s="19"/>
      <c r="M21" s="32"/>
      <c r="N21" s="32"/>
      <c r="O21" s="32"/>
      <c r="P21" s="32"/>
      <c r="Q21" s="1"/>
      <c r="R21" s="1"/>
      <c r="S21" s="1"/>
      <c r="T21" s="1"/>
      <c r="U21" s="1"/>
      <c r="V21"/>
      <c r="W21"/>
    </row>
    <row r="22" spans="2:23" x14ac:dyDescent="0.25">
      <c r="B22" s="15" t="s">
        <v>209</v>
      </c>
      <c r="E22" s="17">
        <v>381191.72</v>
      </c>
      <c r="F22" s="16"/>
      <c r="G22" s="209"/>
      <c r="M22" s="32"/>
      <c r="N22" s="32"/>
      <c r="O22" s="32"/>
      <c r="P22" s="32"/>
      <c r="Q22" s="1"/>
      <c r="R22" s="1"/>
      <c r="S22" s="1"/>
      <c r="T22" s="1"/>
      <c r="U22" s="1"/>
      <c r="V22"/>
      <c r="W22"/>
    </row>
    <row r="23" spans="2:23" x14ac:dyDescent="0.25">
      <c r="B23" s="15" t="s">
        <v>17</v>
      </c>
      <c r="E23" s="17"/>
      <c r="F23" s="16"/>
      <c r="G23" s="209"/>
      <c r="K23" s="33"/>
      <c r="M23" s="32"/>
      <c r="N23" s="32"/>
      <c r="O23" s="32"/>
      <c r="P23" s="32"/>
      <c r="Q23" s="1"/>
      <c r="R23" s="1"/>
      <c r="S23" s="1"/>
      <c r="T23" s="1"/>
      <c r="U23" s="1"/>
      <c r="V23"/>
      <c r="W23"/>
    </row>
    <row r="24" spans="2:23" x14ac:dyDescent="0.25">
      <c r="B24" s="15" t="s">
        <v>18</v>
      </c>
      <c r="E24" s="17">
        <v>0</v>
      </c>
      <c r="F24" s="20"/>
      <c r="G24" s="209"/>
      <c r="H24" s="5"/>
      <c r="M24" s="32"/>
      <c r="N24" s="32"/>
      <c r="Q24"/>
      <c r="R24"/>
      <c r="S24"/>
      <c r="T24"/>
      <c r="U24"/>
      <c r="V24"/>
      <c r="W24"/>
    </row>
    <row r="25" spans="2:23" x14ac:dyDescent="0.25">
      <c r="B25" s="15" t="s">
        <v>19</v>
      </c>
      <c r="E25" s="17">
        <v>0</v>
      </c>
      <c r="F25" s="21"/>
      <c r="G25" s="209"/>
      <c r="H25" s="14"/>
      <c r="K25" s="38" t="s">
        <v>29</v>
      </c>
      <c r="L25" s="38" t="s">
        <v>30</v>
      </c>
      <c r="M25" s="38" t="s">
        <v>49</v>
      </c>
      <c r="N25" s="38" t="s">
        <v>50</v>
      </c>
      <c r="O25" s="38" t="s">
        <v>51</v>
      </c>
      <c r="P25" s="38" t="s">
        <v>52</v>
      </c>
      <c r="Q25"/>
      <c r="R25"/>
      <c r="S25"/>
      <c r="T25"/>
      <c r="U25"/>
      <c r="V25"/>
      <c r="W25"/>
    </row>
    <row r="26" spans="2:23" x14ac:dyDescent="0.25">
      <c r="B26" s="15" t="s">
        <v>167</v>
      </c>
      <c r="E26" s="17"/>
      <c r="F26" s="21"/>
      <c r="G26" s="209"/>
      <c r="H26" s="14"/>
      <c r="K26" s="61" t="s">
        <v>33</v>
      </c>
      <c r="L26" s="62" t="s">
        <v>34</v>
      </c>
      <c r="M26" s="63">
        <v>0.23</v>
      </c>
      <c r="N26" s="63">
        <v>0.28999999999999998</v>
      </c>
      <c r="O26" s="63">
        <v>0.34</v>
      </c>
      <c r="P26" s="63">
        <v>0.35</v>
      </c>
      <c r="Q26"/>
      <c r="R26"/>
      <c r="S26"/>
      <c r="T26"/>
      <c r="U26"/>
      <c r="V26"/>
      <c r="W26"/>
    </row>
    <row r="27" spans="2:23" x14ac:dyDescent="0.25">
      <c r="B27" s="125" t="s">
        <v>123</v>
      </c>
      <c r="E27" s="22">
        <v>35447.18</v>
      </c>
      <c r="F27" s="23"/>
      <c r="G27" s="209"/>
      <c r="H27" s="5"/>
      <c r="K27" s="2" t="s">
        <v>35</v>
      </c>
      <c r="L27" s="2" t="s">
        <v>36</v>
      </c>
      <c r="M27" s="37">
        <v>0.23</v>
      </c>
      <c r="N27" s="37">
        <v>0.28999999999999998</v>
      </c>
      <c r="O27" s="37">
        <v>0.34</v>
      </c>
      <c r="P27" s="37">
        <v>0.35</v>
      </c>
      <c r="Q27"/>
      <c r="R27"/>
      <c r="S27"/>
      <c r="T27"/>
      <c r="U27"/>
      <c r="V27"/>
      <c r="W27"/>
    </row>
    <row r="28" spans="2:23" x14ac:dyDescent="0.25">
      <c r="B28" s="15" t="s">
        <v>173</v>
      </c>
      <c r="E28" s="126">
        <f>SUM(E22:E27)</f>
        <v>416638.89999999997</v>
      </c>
      <c r="F28" s="20"/>
      <c r="G28" s="209"/>
      <c r="H28" s="5"/>
      <c r="K28" s="2" t="s">
        <v>26</v>
      </c>
      <c r="L28" s="2" t="s">
        <v>37</v>
      </c>
      <c r="M28" s="37">
        <v>0.2</v>
      </c>
      <c r="N28" s="37">
        <v>0.25</v>
      </c>
      <c r="O28" s="37">
        <v>0.28999999999999998</v>
      </c>
      <c r="P28" s="37">
        <v>0.3</v>
      </c>
      <c r="Q28"/>
      <c r="R28"/>
      <c r="S28"/>
      <c r="T28"/>
      <c r="U28"/>
      <c r="V28"/>
      <c r="W28"/>
    </row>
    <row r="29" spans="2:23" x14ac:dyDescent="0.25">
      <c r="B29" s="204" t="s">
        <v>208</v>
      </c>
      <c r="C29" s="205"/>
      <c r="E29" s="10">
        <f>E28/C12</f>
        <v>0.25262410464758028</v>
      </c>
      <c r="F29" s="20" t="s">
        <v>168</v>
      </c>
      <c r="G29" s="209"/>
      <c r="H29" s="5"/>
      <c r="K29" s="2" t="s">
        <v>22</v>
      </c>
      <c r="L29" s="2" t="s">
        <v>38</v>
      </c>
      <c r="M29" s="37">
        <v>0.19</v>
      </c>
      <c r="N29" s="37">
        <v>0.24</v>
      </c>
      <c r="O29" s="37">
        <v>0.27</v>
      </c>
      <c r="P29" s="37">
        <v>0.28999999999999998</v>
      </c>
      <c r="Q29"/>
      <c r="R29"/>
      <c r="S29"/>
      <c r="T29"/>
      <c r="U29" s="1"/>
      <c r="V29"/>
      <c r="W29"/>
    </row>
    <row r="30" spans="2:23" x14ac:dyDescent="0.25">
      <c r="B30" s="206" t="s">
        <v>126</v>
      </c>
      <c r="C30" s="200"/>
      <c r="D30" s="25"/>
      <c r="E30" s="139">
        <f>+E18-E28</f>
        <v>69888.209800000011</v>
      </c>
      <c r="F30" s="20"/>
      <c r="G30" s="209"/>
      <c r="H30" s="5"/>
      <c r="I30" s="5"/>
      <c r="K30" s="2" t="s">
        <v>39</v>
      </c>
      <c r="L30" s="2" t="s">
        <v>40</v>
      </c>
      <c r="M30" s="37">
        <v>0.17</v>
      </c>
      <c r="N30" s="37">
        <v>0.21</v>
      </c>
      <c r="O30" s="37">
        <v>0.25</v>
      </c>
      <c r="P30" s="37">
        <v>0.26</v>
      </c>
      <c r="Q30"/>
      <c r="R30"/>
      <c r="S30"/>
      <c r="T30"/>
      <c r="U30"/>
      <c r="V30"/>
      <c r="W30"/>
    </row>
    <row r="31" spans="2:23" x14ac:dyDescent="0.25">
      <c r="B31" s="26"/>
      <c r="C31" s="27"/>
      <c r="D31" s="27"/>
      <c r="E31" s="28"/>
      <c r="F31" s="23"/>
      <c r="G31" s="210"/>
      <c r="H31" s="5"/>
      <c r="K31" s="2" t="s">
        <v>41</v>
      </c>
      <c r="L31" s="2" t="s">
        <v>42</v>
      </c>
      <c r="M31" s="37">
        <v>0.09</v>
      </c>
      <c r="N31" s="37">
        <v>0.16</v>
      </c>
      <c r="O31" s="37">
        <v>0.21</v>
      </c>
      <c r="P31" s="37">
        <v>0.22</v>
      </c>
    </row>
    <row r="32" spans="2:23" x14ac:dyDescent="0.25">
      <c r="E32" s="5"/>
      <c r="F32" s="5"/>
      <c r="G32" s="5"/>
      <c r="H32" s="5"/>
      <c r="K32" s="2" t="s">
        <v>43</v>
      </c>
      <c r="L32" s="2" t="s">
        <v>44</v>
      </c>
      <c r="M32" s="37">
        <v>7.0000000000000007E-2</v>
      </c>
      <c r="N32" s="37">
        <v>0.12</v>
      </c>
      <c r="O32" s="37">
        <v>0.15</v>
      </c>
      <c r="P32" s="37">
        <v>0.16</v>
      </c>
    </row>
    <row r="33" spans="2:16" x14ac:dyDescent="0.25">
      <c r="E33" s="5"/>
      <c r="F33" s="5"/>
      <c r="G33" s="5"/>
      <c r="H33" s="5"/>
      <c r="K33" s="2" t="s">
        <v>45</v>
      </c>
      <c r="L33" s="2" t="s">
        <v>46</v>
      </c>
      <c r="M33" s="37">
        <v>0.03</v>
      </c>
      <c r="N33" s="37">
        <v>0.06</v>
      </c>
      <c r="O33" s="37">
        <v>0.09</v>
      </c>
      <c r="P33" s="37">
        <v>0.1</v>
      </c>
    </row>
    <row r="34" spans="2:16" x14ac:dyDescent="0.25">
      <c r="B34" s="11"/>
      <c r="C34" s="12"/>
      <c r="D34" s="12"/>
      <c r="E34" s="12"/>
      <c r="F34" s="29"/>
      <c r="G34" s="211" t="s">
        <v>133</v>
      </c>
      <c r="K34" s="2" t="s">
        <v>47</v>
      </c>
      <c r="L34" s="2" t="s">
        <v>48</v>
      </c>
      <c r="M34" s="37">
        <v>1.4999999999999999E-2</v>
      </c>
      <c r="N34" s="37">
        <v>0.03</v>
      </c>
      <c r="O34" s="37">
        <v>4.4999999999999998E-2</v>
      </c>
      <c r="P34" s="37">
        <v>0.05</v>
      </c>
    </row>
    <row r="35" spans="2:16" x14ac:dyDescent="0.25">
      <c r="B35" s="128" t="s">
        <v>124</v>
      </c>
      <c r="E35" s="127">
        <v>237158.18</v>
      </c>
      <c r="G35" s="212"/>
    </row>
    <row r="36" spans="2:16" x14ac:dyDescent="0.25">
      <c r="B36" s="15"/>
      <c r="G36" s="212"/>
    </row>
    <row r="37" spans="2:16" x14ac:dyDescent="0.25">
      <c r="B37" s="206" t="s">
        <v>127</v>
      </c>
      <c r="C37" s="200"/>
      <c r="E37" s="10"/>
      <c r="F37" s="130"/>
      <c r="G37" s="212"/>
    </row>
    <row r="38" spans="2:16" x14ac:dyDescent="0.25">
      <c r="B38" s="24"/>
      <c r="E38" s="10"/>
      <c r="F38" s="130"/>
      <c r="G38" s="212"/>
    </row>
    <row r="39" spans="2:16" x14ac:dyDescent="0.25">
      <c r="B39" s="15"/>
      <c r="D39"/>
      <c r="E39" s="122"/>
      <c r="F39" s="134"/>
      <c r="G39" s="212"/>
    </row>
    <row r="40" spans="2:16" x14ac:dyDescent="0.25">
      <c r="B40" s="15"/>
      <c r="D40" s="123">
        <v>2024</v>
      </c>
      <c r="E40" s="124">
        <f>+P26</f>
        <v>0.35</v>
      </c>
      <c r="F40" s="135">
        <f>$E$35*E40</f>
        <v>83005.362999999998</v>
      </c>
      <c r="G40" s="212"/>
    </row>
    <row r="41" spans="2:16" x14ac:dyDescent="0.25">
      <c r="B41" s="15"/>
      <c r="E41" s="10"/>
      <c r="F41" s="130"/>
      <c r="G41" s="212"/>
    </row>
    <row r="42" spans="2:16" x14ac:dyDescent="0.25">
      <c r="B42" s="26"/>
      <c r="C42" s="27"/>
      <c r="D42" s="27"/>
      <c r="E42" s="27"/>
      <c r="F42" s="30"/>
      <c r="G42" s="213"/>
    </row>
    <row r="43" spans="2:16" x14ac:dyDescent="0.25">
      <c r="G43" s="5"/>
    </row>
    <row r="47" spans="2:16" x14ac:dyDescent="0.25">
      <c r="G47" s="214" t="s">
        <v>132</v>
      </c>
    </row>
    <row r="48" spans="2:16" x14ac:dyDescent="0.25">
      <c r="B48" s="207" t="s">
        <v>178</v>
      </c>
      <c r="C48" s="200"/>
      <c r="D48" s="160"/>
      <c r="E48" s="160"/>
      <c r="F48" s="160"/>
      <c r="G48" s="215"/>
    </row>
    <row r="49" spans="2:14" x14ac:dyDescent="0.25">
      <c r="G49" s="215"/>
    </row>
    <row r="50" spans="2:14" x14ac:dyDescent="0.25">
      <c r="B50" s="7" t="s">
        <v>179</v>
      </c>
      <c r="D50" s="161">
        <f>C12*C13</f>
        <v>486527.10979999998</v>
      </c>
      <c r="E50" s="5"/>
      <c r="F50" s="161"/>
      <c r="G50" s="215"/>
    </row>
    <row r="51" spans="2:14" x14ac:dyDescent="0.25">
      <c r="B51" s="217" t="s">
        <v>180</v>
      </c>
      <c r="C51" s="200"/>
      <c r="D51" s="130">
        <f>D50-E28</f>
        <v>69888.209800000011</v>
      </c>
      <c r="E51" s="5"/>
      <c r="F51" s="161"/>
      <c r="G51" s="215"/>
    </row>
    <row r="52" spans="2:14" x14ac:dyDescent="0.25">
      <c r="D52" s="161"/>
      <c r="E52" s="161"/>
      <c r="F52" s="161"/>
      <c r="G52" s="215"/>
    </row>
    <row r="53" spans="2:14" ht="17.25" x14ac:dyDescent="0.4">
      <c r="B53" s="207"/>
      <c r="C53" s="200"/>
      <c r="D53" s="162"/>
      <c r="E53" s="163"/>
      <c r="F53" s="164"/>
      <c r="G53" s="215"/>
    </row>
    <row r="54" spans="2:14" x14ac:dyDescent="0.25">
      <c r="B54" s="6"/>
      <c r="D54" s="130"/>
      <c r="G54" s="215"/>
    </row>
    <row r="55" spans="2:14" x14ac:dyDescent="0.25">
      <c r="G55" s="121"/>
    </row>
    <row r="56" spans="2:14" ht="15.75" thickBot="1" x14ac:dyDescent="0.3">
      <c r="D56" s="32"/>
      <c r="G56" s="121"/>
    </row>
    <row r="57" spans="2:14" x14ac:dyDescent="0.25">
      <c r="B57" s="232"/>
      <c r="C57" s="232"/>
      <c r="D57" s="232"/>
      <c r="E57" s="232"/>
      <c r="F57" s="232"/>
      <c r="G57" s="121"/>
      <c r="K57" s="222" t="s">
        <v>135</v>
      </c>
      <c r="L57" s="223"/>
      <c r="M57" s="223"/>
      <c r="N57" s="224"/>
    </row>
    <row r="58" spans="2:14" ht="15.75" thickBot="1" x14ac:dyDescent="0.3">
      <c r="B58" s="232"/>
      <c r="C58" s="232"/>
      <c r="D58" s="232"/>
      <c r="E58" s="232"/>
      <c r="F58" s="232"/>
      <c r="G58" s="121"/>
      <c r="K58" s="225"/>
      <c r="L58" s="226"/>
      <c r="M58" s="226"/>
      <c r="N58" s="227"/>
    </row>
    <row r="60" spans="2:14" x14ac:dyDescent="0.25">
      <c r="K60" s="219" t="s">
        <v>139</v>
      </c>
      <c r="L60" s="220"/>
      <c r="M60" s="221"/>
      <c r="N60" s="171" t="s">
        <v>102</v>
      </c>
    </row>
    <row r="61" spans="2:14" ht="33" customHeight="1" x14ac:dyDescent="0.25">
      <c r="B61" s="216"/>
      <c r="C61" s="216"/>
      <c r="D61" s="216"/>
      <c r="E61" s="56"/>
      <c r="F61" s="118"/>
      <c r="K61" s="233" t="s">
        <v>206</v>
      </c>
      <c r="L61" s="234"/>
      <c r="M61" s="234"/>
      <c r="N61" s="193">
        <v>486527.11</v>
      </c>
    </row>
    <row r="62" spans="2:14" x14ac:dyDescent="0.25">
      <c r="B62" s="240"/>
      <c r="C62" s="240"/>
      <c r="D62" s="240"/>
      <c r="E62" s="136"/>
      <c r="F62" s="137"/>
      <c r="K62" s="56"/>
      <c r="L62" s="56"/>
      <c r="M62" s="56"/>
      <c r="N62" s="56"/>
    </row>
    <row r="63" spans="2:14" x14ac:dyDescent="0.25">
      <c r="B63" s="56"/>
      <c r="C63" s="56"/>
      <c r="D63" s="56"/>
      <c r="E63" s="56"/>
      <c r="F63" s="56"/>
      <c r="K63" s="56"/>
      <c r="L63" s="56"/>
      <c r="M63" s="56"/>
      <c r="N63" s="56"/>
    </row>
    <row r="64" spans="2:14" x14ac:dyDescent="0.25">
      <c r="B64" s="56"/>
      <c r="C64" s="56"/>
      <c r="D64" s="56"/>
      <c r="E64" s="56"/>
      <c r="F64" s="56"/>
      <c r="K64" s="235" t="s">
        <v>207</v>
      </c>
      <c r="L64" s="236"/>
      <c r="M64" s="237"/>
      <c r="N64" s="138" t="s">
        <v>102</v>
      </c>
    </row>
    <row r="65" spans="2:14" ht="27.95" customHeight="1" x14ac:dyDescent="0.25">
      <c r="B65" s="56"/>
      <c r="C65" s="56"/>
      <c r="D65" s="56"/>
      <c r="E65" s="56"/>
      <c r="F65" s="56"/>
      <c r="K65" s="228" t="s">
        <v>228</v>
      </c>
      <c r="L65" s="238"/>
      <c r="M65" s="239"/>
      <c r="N65" s="192">
        <v>305893.09999999998</v>
      </c>
    </row>
    <row r="66" spans="2:14" ht="29.25" customHeight="1" x14ac:dyDescent="0.25">
      <c r="B66" s="216"/>
      <c r="C66" s="216"/>
      <c r="D66" s="216"/>
      <c r="E66" s="118"/>
      <c r="F66" s="118"/>
      <c r="K66" s="228" t="s">
        <v>229</v>
      </c>
      <c r="L66" s="229"/>
      <c r="M66" s="230"/>
      <c r="N66" s="193">
        <v>321390.23</v>
      </c>
    </row>
    <row r="67" spans="2:14" ht="36.75" customHeight="1" x14ac:dyDescent="0.25">
      <c r="B67" s="216"/>
      <c r="C67" s="216"/>
      <c r="D67" s="216"/>
      <c r="E67" s="118"/>
      <c r="F67" s="118"/>
      <c r="K67" s="228" t="s">
        <v>230</v>
      </c>
      <c r="L67" s="229"/>
      <c r="M67" s="230"/>
      <c r="N67" s="193">
        <v>325332.88</v>
      </c>
    </row>
    <row r="69" spans="2:14" x14ac:dyDescent="0.25">
      <c r="K69" s="231"/>
      <c r="L69" s="231"/>
      <c r="M69" s="231"/>
      <c r="N69" s="140"/>
    </row>
    <row r="70" spans="2:14" x14ac:dyDescent="0.25">
      <c r="J70" s="120"/>
      <c r="K70" s="120"/>
      <c r="L70" s="120"/>
      <c r="M70" s="119"/>
    </row>
    <row r="71" spans="2:14" x14ac:dyDescent="0.25">
      <c r="B71" s="218"/>
      <c r="C71" s="200"/>
      <c r="D71" s="200"/>
      <c r="E71" s="200"/>
    </row>
  </sheetData>
  <mergeCells count="25">
    <mergeCell ref="B67:D67"/>
    <mergeCell ref="B51:C51"/>
    <mergeCell ref="B71:E71"/>
    <mergeCell ref="K60:M60"/>
    <mergeCell ref="K57:N58"/>
    <mergeCell ref="K67:M67"/>
    <mergeCell ref="K69:M69"/>
    <mergeCell ref="B57:F58"/>
    <mergeCell ref="K61:M61"/>
    <mergeCell ref="K64:M64"/>
    <mergeCell ref="K65:M65"/>
    <mergeCell ref="K66:M66"/>
    <mergeCell ref="B61:D61"/>
    <mergeCell ref="B62:D62"/>
    <mergeCell ref="B66:D66"/>
    <mergeCell ref="A1:J1"/>
    <mergeCell ref="B21:D21"/>
    <mergeCell ref="B37:C37"/>
    <mergeCell ref="B30:C30"/>
    <mergeCell ref="B48:C48"/>
    <mergeCell ref="B29:C29"/>
    <mergeCell ref="G17:G31"/>
    <mergeCell ref="G34:G42"/>
    <mergeCell ref="G47:G54"/>
    <mergeCell ref="B53:C53"/>
  </mergeCells>
  <conditionalFormatting sqref="E30">
    <cfRule type="cellIs" dxfId="14" priority="1" stopIfTrue="1" operator="greaterThan">
      <formula>0</formula>
    </cfRule>
  </conditionalFormatting>
  <pageMargins left="0.7" right="0.7" top="0.75" bottom="0.75" header="0.3" footer="0.3"/>
  <pageSetup paperSize="9"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4"/>
  <sheetViews>
    <sheetView view="pageBreakPreview" zoomScale="85" zoomScaleNormal="90" zoomScaleSheetLayoutView="85" workbookViewId="0">
      <selection activeCell="A10" sqref="A10:G17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97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2" t="s">
        <v>86</v>
      </c>
      <c r="P2" s="72" t="s">
        <v>87</v>
      </c>
    </row>
    <row r="3" spans="1:22" s="56" customFormat="1" x14ac:dyDescent="0.25">
      <c r="A3" s="93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26783.48</v>
      </c>
      <c r="J3" s="53">
        <f>+I3*8.5/100</f>
        <v>2276.5958000000001</v>
      </c>
      <c r="K3" s="53">
        <f>+I3*23.8/100</f>
        <v>6374.4682400000002</v>
      </c>
      <c r="L3" s="53">
        <f>+I3*2.88/100</f>
        <v>771.36422399999992</v>
      </c>
      <c r="M3" s="71">
        <f>(I3*4.75/1000)+(1%*(I3*4.75/1000))</f>
        <v>128.4937453</v>
      </c>
      <c r="N3" s="54">
        <f>+G3/36</f>
        <v>1</v>
      </c>
      <c r="O3" s="54">
        <f>+(I3+K3+L3+M3)*N3</f>
        <v>34057.806209299997</v>
      </c>
      <c r="P3" s="54">
        <f>+(I3+K3+L3+M3+J3)*N3</f>
        <v>36334.4020093</v>
      </c>
    </row>
    <row r="4" spans="1:22" s="56" customFormat="1" x14ac:dyDescent="0.25">
      <c r="A4" s="247" t="s">
        <v>55</v>
      </c>
      <c r="B4" s="49" t="s">
        <v>101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26783.48</v>
      </c>
      <c r="J4" s="53">
        <f t="shared" ref="J4:J9" si="0">+I4*8.5/100</f>
        <v>2276.5958000000001</v>
      </c>
      <c r="K4" s="53">
        <f t="shared" ref="K4:K9" si="1">+I4*23.8/100</f>
        <v>6374.4682400000002</v>
      </c>
      <c r="L4" s="53">
        <f t="shared" ref="L4:L7" si="2">+I4*2.88/100</f>
        <v>771.36422399999992</v>
      </c>
      <c r="M4" s="71">
        <f t="shared" ref="M4:M9" si="3">(I4*4.75/1000)+(1%*(I4*4.75/1000))</f>
        <v>128.4937453</v>
      </c>
      <c r="N4" s="54">
        <f t="shared" ref="N4:N9" si="4">+G4/36</f>
        <v>1</v>
      </c>
      <c r="O4" s="54">
        <f t="shared" ref="O4:O10" si="5">+(I4+K4+L4+M4)*N4</f>
        <v>34057.806209299997</v>
      </c>
      <c r="P4" s="54">
        <f t="shared" ref="P4:P14" si="6">+(I4+K4+L4+M4+J4)*N4</f>
        <v>36334.4020093</v>
      </c>
    </row>
    <row r="5" spans="1:22" s="56" customFormat="1" x14ac:dyDescent="0.25">
      <c r="A5" s="249"/>
      <c r="B5" s="49" t="s">
        <v>119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0</v>
      </c>
      <c r="J5" s="53">
        <f t="shared" si="0"/>
        <v>0</v>
      </c>
      <c r="K5" s="53">
        <f t="shared" si="1"/>
        <v>0</v>
      </c>
      <c r="L5" s="53">
        <f t="shared" si="2"/>
        <v>0</v>
      </c>
      <c r="M5" s="71">
        <f t="shared" si="3"/>
        <v>0</v>
      </c>
      <c r="N5" s="54">
        <f t="shared" si="4"/>
        <v>1</v>
      </c>
      <c r="O5" s="54">
        <f t="shared" si="5"/>
        <v>0</v>
      </c>
      <c r="P5" s="54">
        <f t="shared" si="6"/>
        <v>0</v>
      </c>
    </row>
    <row r="6" spans="1:22" s="56" customFormat="1" x14ac:dyDescent="0.25">
      <c r="A6" s="248"/>
      <c r="B6" s="49" t="s">
        <v>100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26783.48</v>
      </c>
      <c r="J6" s="53">
        <f t="shared" si="0"/>
        <v>2276.5958000000001</v>
      </c>
      <c r="K6" s="53">
        <f t="shared" si="1"/>
        <v>6374.4682400000002</v>
      </c>
      <c r="L6" s="53">
        <f t="shared" si="2"/>
        <v>771.36422399999992</v>
      </c>
      <c r="M6" s="71">
        <f t="shared" si="3"/>
        <v>128.4937453</v>
      </c>
      <c r="N6" s="54">
        <f t="shared" si="4"/>
        <v>0.5</v>
      </c>
      <c r="O6" s="54">
        <f t="shared" si="5"/>
        <v>17028.903104649999</v>
      </c>
      <c r="P6" s="54">
        <f t="shared" si="6"/>
        <v>18167.20100465</v>
      </c>
      <c r="V6" s="60"/>
    </row>
    <row r="7" spans="1:22" s="56" customFormat="1" x14ac:dyDescent="0.25">
      <c r="A7" s="247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26783.48</v>
      </c>
      <c r="J7" s="53">
        <f>+I7*8.5/100</f>
        <v>2276.5958000000001</v>
      </c>
      <c r="K7" s="53">
        <f t="shared" si="1"/>
        <v>6374.4682400000002</v>
      </c>
      <c r="L7" s="53">
        <f t="shared" si="2"/>
        <v>771.36422399999992</v>
      </c>
      <c r="M7" s="71">
        <f t="shared" si="3"/>
        <v>128.4937453</v>
      </c>
      <c r="N7" s="54">
        <f t="shared" si="4"/>
        <v>0.83333333333333337</v>
      </c>
      <c r="O7" s="54">
        <f t="shared" si="5"/>
        <v>28381.505174416667</v>
      </c>
      <c r="P7" s="54">
        <f t="shared" si="6"/>
        <v>30278.668341083336</v>
      </c>
      <c r="V7" s="60"/>
    </row>
    <row r="8" spans="1:22" s="56" customFormat="1" ht="25.5" customHeight="1" x14ac:dyDescent="0.25">
      <c r="A8" s="249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0</v>
      </c>
      <c r="J8" s="53">
        <f t="shared" si="0"/>
        <v>0</v>
      </c>
      <c r="K8" s="53">
        <f t="shared" si="1"/>
        <v>0</v>
      </c>
      <c r="L8" s="53">
        <f>+(TABELLARI!D11+TABELLARI!E11+TABELLARI!I11)*13*2.88/100</f>
        <v>646.80969599999992</v>
      </c>
      <c r="M8" s="71">
        <f t="shared" si="3"/>
        <v>0</v>
      </c>
      <c r="N8" s="54">
        <f t="shared" si="4"/>
        <v>1</v>
      </c>
      <c r="O8" s="54">
        <f t="shared" si="5"/>
        <v>646.80969599999992</v>
      </c>
      <c r="P8" s="54">
        <f t="shared" si="6"/>
        <v>646.80969599999992</v>
      </c>
      <c r="V8" s="60"/>
    </row>
    <row r="9" spans="1:22" s="56" customFormat="1" x14ac:dyDescent="0.25">
      <c r="A9" s="248"/>
      <c r="B9" s="49" t="s">
        <v>120</v>
      </c>
      <c r="C9" s="49" t="s">
        <v>21</v>
      </c>
      <c r="D9" s="49"/>
      <c r="E9" s="50" t="s">
        <v>24</v>
      </c>
      <c r="F9" s="50" t="s">
        <v>112</v>
      </c>
      <c r="G9" s="50">
        <v>36</v>
      </c>
      <c r="H9" s="51" t="s">
        <v>113</v>
      </c>
      <c r="I9" s="52">
        <f>+TABELLARI!K30</f>
        <v>0</v>
      </c>
      <c r="J9" s="53">
        <f t="shared" si="0"/>
        <v>0</v>
      </c>
      <c r="K9" s="53">
        <f t="shared" si="1"/>
        <v>0</v>
      </c>
      <c r="L9" s="53">
        <f>+(TABELLARI!D12+TABELLARI!E12+TABELLARI!I12)*13*2.88/100</f>
        <v>659.50185599999986</v>
      </c>
      <c r="M9" s="71">
        <f t="shared" si="3"/>
        <v>0</v>
      </c>
      <c r="N9" s="54">
        <f t="shared" si="4"/>
        <v>1</v>
      </c>
      <c r="O9" s="54">
        <f t="shared" si="5"/>
        <v>659.50185599999986</v>
      </c>
      <c r="P9" s="54">
        <f t="shared" si="6"/>
        <v>659.50185599999986</v>
      </c>
    </row>
    <row r="10" spans="1:22" s="56" customFormat="1" ht="22.5" x14ac:dyDescent="0.25">
      <c r="A10" s="252"/>
      <c r="B10" s="253"/>
      <c r="C10" s="253"/>
      <c r="D10" s="253"/>
      <c r="E10" s="253"/>
      <c r="F10" s="253"/>
      <c r="G10" s="254"/>
      <c r="H10" s="51" t="s">
        <v>96</v>
      </c>
      <c r="I10" s="52">
        <f>-TABELLARI!K64*2-TABELLARI!K64*0.83-TABELLARI!K64*0.5-TABELLARI!K59*2-TABELLARI!K53</f>
        <v>11081.212199999982</v>
      </c>
      <c r="J10" s="53">
        <f>+I10*8.5/100</f>
        <v>941.90303699999845</v>
      </c>
      <c r="K10" s="53">
        <f>+I10*23.8/100</f>
        <v>2637.3285035999957</v>
      </c>
      <c r="L10" s="53">
        <f>+I10*2.88/100</f>
        <v>319.1389113599995</v>
      </c>
      <c r="M10" s="71">
        <f>(I10*4.75/1000)+(1%*(I10*4.75/1000))</f>
        <v>53.162115529499914</v>
      </c>
      <c r="N10" s="54">
        <v>1</v>
      </c>
      <c r="O10" s="54">
        <f t="shared" si="5"/>
        <v>14090.841730489477</v>
      </c>
      <c r="P10" s="54">
        <f>+(I10+K10+L10+M10+J10)*N10</f>
        <v>15032.744767489476</v>
      </c>
    </row>
    <row r="11" spans="1:22" s="56" customFormat="1" ht="22.5" x14ac:dyDescent="0.25">
      <c r="A11" s="252"/>
      <c r="B11" s="253"/>
      <c r="C11" s="253"/>
      <c r="D11" s="253"/>
      <c r="E11" s="253"/>
      <c r="F11" s="253"/>
      <c r="G11" s="254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1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252"/>
      <c r="B12" s="253"/>
      <c r="C12" s="253"/>
      <c r="D12" s="253"/>
      <c r="E12" s="253"/>
      <c r="F12" s="253"/>
      <c r="G12" s="254"/>
      <c r="H12" s="51" t="s">
        <v>88</v>
      </c>
      <c r="I12" s="100">
        <v>18975</v>
      </c>
      <c r="J12" s="101">
        <v>1275</v>
      </c>
      <c r="K12" s="101">
        <v>3570</v>
      </c>
      <c r="L12" s="101">
        <v>345.5</v>
      </c>
      <c r="M12" s="101">
        <v>75.75</v>
      </c>
      <c r="N12" s="101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252"/>
      <c r="B13" s="253"/>
      <c r="C13" s="253"/>
      <c r="D13" s="253"/>
      <c r="E13" s="253"/>
      <c r="F13" s="253"/>
      <c r="G13" s="254"/>
      <c r="H13" s="51" t="s">
        <v>121</v>
      </c>
      <c r="I13" s="100">
        <v>11000</v>
      </c>
      <c r="J13" s="101">
        <v>751.69</v>
      </c>
      <c r="K13" s="101">
        <v>2104.7199999999998</v>
      </c>
      <c r="L13" s="101"/>
      <c r="M13" s="101"/>
      <c r="N13" s="101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252"/>
      <c r="B14" s="253"/>
      <c r="C14" s="253"/>
      <c r="D14" s="253"/>
      <c r="E14" s="253"/>
      <c r="F14" s="253"/>
      <c r="G14" s="254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252"/>
      <c r="B15" s="253"/>
      <c r="C15" s="253"/>
      <c r="D15" s="253"/>
      <c r="E15" s="253"/>
      <c r="F15" s="253"/>
      <c r="G15" s="254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25">
      <c r="A16" s="252"/>
      <c r="B16" s="253"/>
      <c r="C16" s="253"/>
      <c r="D16" s="253"/>
      <c r="E16" s="253"/>
      <c r="F16" s="253"/>
      <c r="G16" s="254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255"/>
      <c r="B17" s="256"/>
      <c r="C17" s="256"/>
      <c r="D17" s="256"/>
      <c r="E17" s="256"/>
      <c r="F17" s="256"/>
      <c r="G17" s="257"/>
      <c r="H17" s="51"/>
      <c r="I17" s="52"/>
      <c r="J17" s="53"/>
      <c r="K17" s="53"/>
      <c r="L17" s="53"/>
      <c r="M17" s="53"/>
      <c r="N17" s="78" t="s">
        <v>89</v>
      </c>
      <c r="O17" s="55">
        <f>SUM(O3:O15)</f>
        <v>195085.29316415614</v>
      </c>
      <c r="P17" s="55">
        <f>SUM(P3:P15)</f>
        <v>207427.53886782282</v>
      </c>
    </row>
    <row r="18" spans="1:16" ht="18.95" customHeight="1" x14ac:dyDescent="0.25"/>
    <row r="19" spans="1:16" ht="30" x14ac:dyDescent="0.25">
      <c r="G19" s="73"/>
      <c r="H19" s="74"/>
      <c r="I19" s="74"/>
      <c r="J19" s="74"/>
      <c r="K19" s="74"/>
      <c r="L19" s="74"/>
      <c r="M19" s="74"/>
      <c r="N19" s="74"/>
      <c r="O19" s="77" t="s">
        <v>93</v>
      </c>
      <c r="P19" s="77" t="s">
        <v>122</v>
      </c>
    </row>
    <row r="20" spans="1:16" ht="15" customHeight="1" x14ac:dyDescent="0.25">
      <c r="E20" s="59"/>
      <c r="H20" s="74"/>
      <c r="I20" s="74"/>
      <c r="J20" s="267" t="s">
        <v>90</v>
      </c>
      <c r="K20" s="267"/>
      <c r="L20" s="267"/>
      <c r="M20" s="267"/>
      <c r="N20" s="272"/>
      <c r="O20" s="75">
        <f>+'CALCOLO LIMITI DI SPESA'!D53</f>
        <v>0</v>
      </c>
      <c r="P20" s="75">
        <f>+'CALCOLO LIMITI DI SPESA'!E53</f>
        <v>0</v>
      </c>
    </row>
    <row r="21" spans="1:16" ht="15" customHeight="1" x14ac:dyDescent="0.25">
      <c r="H21" s="74"/>
      <c r="I21" s="74"/>
      <c r="J21" s="267" t="s">
        <v>91</v>
      </c>
      <c r="K21" s="267"/>
      <c r="L21" s="267"/>
      <c r="M21" s="267"/>
      <c r="N21" s="272"/>
      <c r="O21" s="75">
        <f>+O17</f>
        <v>195085.29316415614</v>
      </c>
      <c r="P21" s="75">
        <f>+O17</f>
        <v>195085.29316415614</v>
      </c>
    </row>
    <row r="22" spans="1:16" x14ac:dyDescent="0.25">
      <c r="E22" s="58"/>
      <c r="H22" s="74"/>
      <c r="I22" s="74"/>
      <c r="J22" s="268"/>
      <c r="K22" s="268"/>
      <c r="L22" s="268"/>
      <c r="M22" s="268"/>
      <c r="N22" s="269"/>
      <c r="O22" s="75"/>
      <c r="P22" s="75"/>
    </row>
    <row r="23" spans="1:16" ht="15" customHeight="1" x14ac:dyDescent="0.25">
      <c r="H23" s="74"/>
      <c r="I23" s="74"/>
      <c r="J23" s="270" t="s">
        <v>92</v>
      </c>
      <c r="K23" s="270"/>
      <c r="L23" s="270"/>
      <c r="M23" s="270"/>
      <c r="N23" s="271"/>
      <c r="O23" s="76">
        <f>O20-O21</f>
        <v>-195085.29316415614</v>
      </c>
      <c r="P23" s="76">
        <f>P20-P21</f>
        <v>-195085.29316415614</v>
      </c>
    </row>
    <row r="24" spans="1:16" x14ac:dyDescent="0.25">
      <c r="H24" s="74"/>
      <c r="I24" s="74"/>
      <c r="J24" s="74"/>
      <c r="K24" s="74"/>
      <c r="L24" s="74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:P2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V73"/>
  <sheetViews>
    <sheetView topLeftCell="A13" workbookViewId="0">
      <selection activeCell="K43" sqref="K43"/>
    </sheetView>
  </sheetViews>
  <sheetFormatPr defaultColWidth="8.85546875" defaultRowHeight="15" x14ac:dyDescent="0.25"/>
  <cols>
    <col min="5" max="5" width="10.42578125" customWidth="1"/>
    <col min="6" max="6" width="10.140625" customWidth="1"/>
    <col min="9" max="9" width="11" customWidth="1"/>
    <col min="15" max="15" width="17.42578125" customWidth="1"/>
    <col min="16" max="16" width="15.85546875" customWidth="1"/>
    <col min="17" max="17" width="22.85546875" customWidth="1"/>
    <col min="21" max="21" width="20" customWidth="1"/>
    <col min="22" max="22" width="15.140625" customWidth="1"/>
  </cols>
  <sheetData>
    <row r="2" spans="2:16" x14ac:dyDescent="0.25">
      <c r="B2" s="65"/>
      <c r="C2" s="66"/>
      <c r="D2" s="277" t="s">
        <v>72</v>
      </c>
      <c r="E2" s="277" t="s">
        <v>73</v>
      </c>
      <c r="F2" s="277" t="s">
        <v>74</v>
      </c>
      <c r="G2" s="278" t="s">
        <v>68</v>
      </c>
      <c r="H2" s="278"/>
      <c r="I2" s="278"/>
      <c r="J2" s="66"/>
      <c r="K2" s="277" t="s">
        <v>16</v>
      </c>
    </row>
    <row r="3" spans="2:16" ht="24" x14ac:dyDescent="0.25">
      <c r="B3" s="68"/>
      <c r="C3" s="69"/>
      <c r="D3" s="277"/>
      <c r="E3" s="277"/>
      <c r="F3" s="277"/>
      <c r="G3" s="67" t="s">
        <v>75</v>
      </c>
      <c r="H3" s="67" t="s">
        <v>76</v>
      </c>
      <c r="I3" s="67" t="s">
        <v>77</v>
      </c>
      <c r="J3" s="69"/>
      <c r="K3" s="277"/>
    </row>
    <row r="4" spans="2:16" x14ac:dyDescent="0.25">
      <c r="B4" s="68" t="s">
        <v>113</v>
      </c>
      <c r="C4" s="69"/>
      <c r="D4" s="70">
        <v>1440.86</v>
      </c>
      <c r="E4" s="70">
        <v>32.4</v>
      </c>
      <c r="F4" s="70">
        <v>29</v>
      </c>
      <c r="G4" s="70">
        <v>10.09</v>
      </c>
      <c r="H4" s="70">
        <v>14.41</v>
      </c>
      <c r="I4" s="70">
        <v>17.29</v>
      </c>
      <c r="J4" s="69"/>
      <c r="K4" s="70">
        <f>+((D4+F4)*13)+(E4*12)+((G4*3)+(H4*3)+(I4*7))</f>
        <v>19691.509999999998</v>
      </c>
    </row>
    <row r="5" spans="2:16" x14ac:dyDescent="0.25">
      <c r="B5" s="65" t="s">
        <v>71</v>
      </c>
      <c r="C5" s="66"/>
      <c r="D5" s="70">
        <v>1471.38</v>
      </c>
      <c r="E5" s="70">
        <v>32.4</v>
      </c>
      <c r="F5" s="70">
        <v>28</v>
      </c>
      <c r="G5" s="70">
        <v>10.3</v>
      </c>
      <c r="H5" s="70">
        <v>14.71</v>
      </c>
      <c r="I5" s="70">
        <v>17.66</v>
      </c>
      <c r="J5" s="66"/>
      <c r="K5" s="70">
        <f>+((D5+F5)*13)+(E5*12)+((G5*3)+(H5*3)+(I5*7))</f>
        <v>20079.390000000003</v>
      </c>
    </row>
    <row r="6" spans="2:16" x14ac:dyDescent="0.25">
      <c r="B6" s="65" t="s">
        <v>149</v>
      </c>
      <c r="C6" s="66"/>
      <c r="D6" s="70"/>
      <c r="E6" s="70"/>
      <c r="F6" s="70"/>
      <c r="G6" s="70"/>
      <c r="H6" s="70"/>
      <c r="I6" s="70"/>
      <c r="J6" s="66"/>
      <c r="K6" s="70">
        <f>+((D6+F6)*13)+(E6*12)+((G6*3)+(H6*3)+(I6*7))</f>
        <v>0</v>
      </c>
    </row>
    <row r="7" spans="2:16" x14ac:dyDescent="0.25">
      <c r="B7" s="65" t="s">
        <v>78</v>
      </c>
      <c r="C7" s="66"/>
      <c r="D7" s="70">
        <v>1527.83</v>
      </c>
      <c r="E7" s="70">
        <v>39.31</v>
      </c>
      <c r="F7" s="70">
        <v>26</v>
      </c>
      <c r="G7" s="70">
        <v>10.69</v>
      </c>
      <c r="H7" s="70">
        <v>15.27</v>
      </c>
      <c r="I7" s="70">
        <v>18.329999999999998</v>
      </c>
      <c r="J7" s="66"/>
      <c r="K7" s="70">
        <f t="shared" ref="K7:K21" si="0">+((D7+F7)*13)+(E7*12)+((G7*3)+(H7*3)+(I7*7))</f>
        <v>20877.7</v>
      </c>
      <c r="N7">
        <f>D7*12</f>
        <v>18333.96</v>
      </c>
    </row>
    <row r="8" spans="2:16" x14ac:dyDescent="0.25">
      <c r="B8" s="65" t="s">
        <v>9</v>
      </c>
      <c r="C8" s="66"/>
      <c r="D8" s="70">
        <v>1588.65</v>
      </c>
      <c r="E8" s="70">
        <v>39.31</v>
      </c>
      <c r="F8" s="70">
        <v>24</v>
      </c>
      <c r="G8" s="70">
        <v>11.12</v>
      </c>
      <c r="H8" s="70">
        <v>15.89</v>
      </c>
      <c r="I8" s="70">
        <v>19.059999999999999</v>
      </c>
      <c r="J8" s="66"/>
      <c r="K8" s="70">
        <f t="shared" si="0"/>
        <v>21650.620000000003</v>
      </c>
    </row>
    <row r="9" spans="2:16" x14ac:dyDescent="0.25">
      <c r="B9" s="65" t="s">
        <v>64</v>
      </c>
      <c r="C9" s="66"/>
      <c r="D9" s="70">
        <v>1611.94</v>
      </c>
      <c r="E9" s="70">
        <v>39.31</v>
      </c>
      <c r="F9" s="70">
        <v>24</v>
      </c>
      <c r="G9" s="70">
        <v>11.28</v>
      </c>
      <c r="H9" s="70">
        <v>16.12</v>
      </c>
      <c r="I9" s="70">
        <v>19.34</v>
      </c>
      <c r="J9" s="66"/>
      <c r="K9" s="70">
        <f t="shared" si="0"/>
        <v>21956.520000000004</v>
      </c>
    </row>
    <row r="10" spans="2:16" x14ac:dyDescent="0.25">
      <c r="B10" s="65" t="s">
        <v>4</v>
      </c>
      <c r="C10" s="66"/>
      <c r="D10" s="70">
        <v>1639.16</v>
      </c>
      <c r="E10" s="70">
        <v>39.31</v>
      </c>
      <c r="F10" s="70">
        <v>23</v>
      </c>
      <c r="G10" s="70">
        <v>11.47</v>
      </c>
      <c r="H10" s="70">
        <v>16.39</v>
      </c>
      <c r="I10" s="70">
        <v>19.670000000000002</v>
      </c>
      <c r="J10" s="66"/>
      <c r="K10" s="70">
        <f t="shared" si="0"/>
        <v>22301.070000000003</v>
      </c>
    </row>
    <row r="11" spans="2:16" x14ac:dyDescent="0.25">
      <c r="B11" s="65" t="s">
        <v>98</v>
      </c>
      <c r="C11" s="66"/>
      <c r="D11" s="70">
        <v>1668.26</v>
      </c>
      <c r="E11" s="70">
        <v>39.31</v>
      </c>
      <c r="F11" s="70">
        <v>23</v>
      </c>
      <c r="G11" s="70">
        <v>11.68</v>
      </c>
      <c r="H11" s="70">
        <v>16.68</v>
      </c>
      <c r="I11" s="70">
        <v>20.02</v>
      </c>
      <c r="J11" s="66"/>
      <c r="K11" s="70">
        <f t="shared" si="0"/>
        <v>22683.320000000003</v>
      </c>
    </row>
    <row r="12" spans="2:16" x14ac:dyDescent="0.25">
      <c r="B12" s="65" t="s">
        <v>6</v>
      </c>
      <c r="C12" s="66"/>
      <c r="D12" s="70">
        <v>1695.34</v>
      </c>
      <c r="E12" s="70">
        <v>45.8</v>
      </c>
      <c r="F12" s="70">
        <v>23</v>
      </c>
      <c r="G12" s="70">
        <v>11.87</v>
      </c>
      <c r="H12" s="70">
        <v>16.96</v>
      </c>
      <c r="I12" s="70">
        <v>20.350000000000001</v>
      </c>
      <c r="J12" s="66"/>
      <c r="K12" s="70">
        <f t="shared" si="0"/>
        <v>23116.959999999995</v>
      </c>
    </row>
    <row r="13" spans="2:16" x14ac:dyDescent="0.25">
      <c r="B13" s="65" t="s">
        <v>27</v>
      </c>
      <c r="C13" s="66"/>
      <c r="D13" s="70">
        <v>1735.77</v>
      </c>
      <c r="E13" s="70">
        <v>45.8</v>
      </c>
      <c r="F13" s="70">
        <v>22</v>
      </c>
      <c r="G13" s="70">
        <v>12.15</v>
      </c>
      <c r="H13" s="70">
        <v>17.36</v>
      </c>
      <c r="I13" s="70">
        <v>20.83</v>
      </c>
      <c r="J13" s="66"/>
      <c r="K13" s="70">
        <f t="shared" si="0"/>
        <v>23634.949999999997</v>
      </c>
      <c r="P13" s="1"/>
    </row>
    <row r="14" spans="2:16" x14ac:dyDescent="0.25">
      <c r="B14" s="65" t="s">
        <v>28</v>
      </c>
      <c r="C14" s="66"/>
      <c r="D14" s="70">
        <v>1784.15</v>
      </c>
      <c r="E14" s="70">
        <v>45.8</v>
      </c>
      <c r="F14" s="70">
        <v>20</v>
      </c>
      <c r="G14" s="70">
        <v>12.49</v>
      </c>
      <c r="H14" s="70">
        <v>17.84</v>
      </c>
      <c r="I14" s="70">
        <v>21.41</v>
      </c>
      <c r="J14" s="66"/>
      <c r="K14" s="70">
        <f t="shared" si="0"/>
        <v>24244.41</v>
      </c>
    </row>
    <row r="15" spans="2:16" x14ac:dyDescent="0.25">
      <c r="B15" s="65" t="s">
        <v>59</v>
      </c>
      <c r="C15" s="66"/>
      <c r="D15" s="70">
        <v>1840.51</v>
      </c>
      <c r="E15" s="70">
        <v>45.8</v>
      </c>
      <c r="F15" s="70">
        <v>18</v>
      </c>
      <c r="G15" s="70">
        <v>12.88</v>
      </c>
      <c r="H15" s="70">
        <v>18.399999999999999</v>
      </c>
      <c r="I15" s="70">
        <v>22.08</v>
      </c>
      <c r="J15" s="66"/>
      <c r="K15" s="70">
        <f t="shared" si="0"/>
        <v>24958.63</v>
      </c>
    </row>
    <row r="16" spans="2:16" x14ac:dyDescent="0.25">
      <c r="B16" s="65" t="s">
        <v>70</v>
      </c>
      <c r="C16" s="66"/>
      <c r="D16" s="70">
        <v>1908.6</v>
      </c>
      <c r="E16" s="70">
        <v>45.8</v>
      </c>
      <c r="F16" s="70">
        <v>17</v>
      </c>
      <c r="G16" s="70">
        <v>13.36</v>
      </c>
      <c r="H16" s="70">
        <v>19.09</v>
      </c>
      <c r="I16" s="70">
        <v>22.9</v>
      </c>
      <c r="J16" s="66"/>
      <c r="K16" s="70">
        <f t="shared" si="0"/>
        <v>25840.05</v>
      </c>
    </row>
    <row r="17" spans="2:22" x14ac:dyDescent="0.25">
      <c r="B17" s="65" t="s">
        <v>7</v>
      </c>
      <c r="C17" s="66"/>
      <c r="D17" s="70">
        <v>1844.62</v>
      </c>
      <c r="E17" s="70">
        <v>51.9</v>
      </c>
      <c r="F17" s="70">
        <v>19</v>
      </c>
      <c r="G17" s="70">
        <v>12.91</v>
      </c>
      <c r="H17" s="70">
        <v>18.440000000000001</v>
      </c>
      <c r="I17" s="70">
        <v>22.13</v>
      </c>
      <c r="J17" s="66"/>
      <c r="K17" s="70">
        <f>+((D17+F17)*13)+(E17*12)+((G17*3)+(H17*3)+(I17*7))</f>
        <v>25098.819999999996</v>
      </c>
      <c r="N17" s="1"/>
      <c r="O17" s="1"/>
      <c r="P17" s="1"/>
    </row>
    <row r="18" spans="2:22" x14ac:dyDescent="0.25">
      <c r="B18" s="65" t="s">
        <v>95</v>
      </c>
      <c r="C18" s="66"/>
      <c r="D18" s="70">
        <v>1935</v>
      </c>
      <c r="E18" s="70">
        <v>51.9</v>
      </c>
      <c r="F18" s="70">
        <v>16</v>
      </c>
      <c r="G18" s="70">
        <v>13.55</v>
      </c>
      <c r="H18" s="70">
        <f>+G18+5.81</f>
        <v>19.36</v>
      </c>
      <c r="I18" s="70">
        <f>+G18+9.68</f>
        <v>23.23</v>
      </c>
      <c r="J18" s="66"/>
      <c r="K18" s="70">
        <f t="shared" si="0"/>
        <v>26247.14</v>
      </c>
      <c r="N18" s="1"/>
      <c r="O18" s="1"/>
      <c r="P18" s="1"/>
    </row>
    <row r="19" spans="2:22" x14ac:dyDescent="0.25">
      <c r="B19" s="65" t="s">
        <v>69</v>
      </c>
      <c r="C19" s="66"/>
      <c r="D19" s="70">
        <v>2120.9899999999998</v>
      </c>
      <c r="E19" s="70">
        <v>51.9</v>
      </c>
      <c r="F19" s="70">
        <v>9</v>
      </c>
      <c r="G19" s="70">
        <v>14.85</v>
      </c>
      <c r="H19" s="70">
        <v>21.21</v>
      </c>
      <c r="I19" s="70">
        <v>25.45</v>
      </c>
      <c r="J19" s="66"/>
      <c r="K19" s="70">
        <f t="shared" si="0"/>
        <v>28598.999999999996</v>
      </c>
    </row>
    <row r="20" spans="2:22" x14ac:dyDescent="0.25">
      <c r="B20" s="65" t="s">
        <v>63</v>
      </c>
      <c r="C20" s="66"/>
      <c r="D20" s="70">
        <v>2211.5700000000002</v>
      </c>
      <c r="E20" s="70">
        <v>51.9</v>
      </c>
      <c r="F20" s="70">
        <v>6</v>
      </c>
      <c r="G20" s="70">
        <v>15.48</v>
      </c>
      <c r="H20" s="70">
        <v>22.11</v>
      </c>
      <c r="I20" s="70">
        <v>26.54</v>
      </c>
      <c r="J20" s="66"/>
      <c r="K20" s="70">
        <f t="shared" si="0"/>
        <v>29749.760000000002</v>
      </c>
    </row>
    <row r="21" spans="2:22" x14ac:dyDescent="0.25">
      <c r="B21" s="65" t="s">
        <v>25</v>
      </c>
      <c r="C21" s="66"/>
      <c r="D21" s="66">
        <v>2310.31</v>
      </c>
      <c r="E21" s="70">
        <v>51.9</v>
      </c>
      <c r="F21" s="70">
        <v>2</v>
      </c>
      <c r="G21" s="70">
        <v>16.170000000000002</v>
      </c>
      <c r="H21" s="70">
        <v>23.1</v>
      </c>
      <c r="I21" s="70">
        <v>27.72</v>
      </c>
      <c r="J21" s="66"/>
      <c r="K21" s="70">
        <f t="shared" si="0"/>
        <v>30994.679999999997</v>
      </c>
      <c r="R21" s="1"/>
    </row>
    <row r="22" spans="2:22" x14ac:dyDescent="0.25">
      <c r="B22" s="65" t="s">
        <v>79</v>
      </c>
      <c r="C22" s="66"/>
      <c r="D22" s="70">
        <v>2469.9</v>
      </c>
      <c r="E22" s="70">
        <v>51.9</v>
      </c>
      <c r="F22" s="70">
        <v>2</v>
      </c>
      <c r="G22" s="70">
        <v>17.29</v>
      </c>
      <c r="H22" s="70">
        <v>24.7</v>
      </c>
      <c r="I22" s="70">
        <v>29.64</v>
      </c>
      <c r="J22" s="66"/>
      <c r="K22" s="70">
        <f>+((D22+F22)*13)+(E22*12)+((G22*3)+(H22*3)+(I22*7))</f>
        <v>33090.949999999997</v>
      </c>
      <c r="R22" s="1"/>
    </row>
    <row r="28" spans="2:22" x14ac:dyDescent="0.25">
      <c r="B28" s="65"/>
      <c r="C28" s="66"/>
      <c r="D28" s="277" t="s">
        <v>72</v>
      </c>
      <c r="E28" s="277" t="s">
        <v>73</v>
      </c>
      <c r="F28" s="277" t="s">
        <v>74</v>
      </c>
      <c r="G28" s="278" t="s">
        <v>68</v>
      </c>
      <c r="H28" s="278"/>
      <c r="I28" s="278"/>
      <c r="J28" s="66"/>
      <c r="K28" s="277" t="s">
        <v>16</v>
      </c>
    </row>
    <row r="29" spans="2:22" x14ac:dyDescent="0.25">
      <c r="B29" s="68"/>
      <c r="C29" s="69"/>
      <c r="D29" s="277"/>
      <c r="E29" s="277"/>
      <c r="F29" s="277"/>
      <c r="G29" s="67"/>
      <c r="H29" s="67"/>
      <c r="I29" s="67" t="s">
        <v>150</v>
      </c>
      <c r="J29" s="69"/>
      <c r="K29" s="277"/>
    </row>
    <row r="30" spans="2:22" x14ac:dyDescent="0.25">
      <c r="B30" s="68"/>
      <c r="C30" s="69"/>
      <c r="D30" s="70"/>
      <c r="E30" s="70"/>
      <c r="F30" s="70"/>
      <c r="G30" s="70"/>
      <c r="H30" s="70"/>
      <c r="I30" s="70"/>
      <c r="J30" s="69"/>
      <c r="K30" s="70"/>
    </row>
    <row r="31" spans="2:22" x14ac:dyDescent="0.25">
      <c r="B31" s="65"/>
      <c r="C31" s="66"/>
      <c r="D31" s="70"/>
      <c r="E31" s="70"/>
      <c r="F31" s="70"/>
      <c r="G31" s="70"/>
      <c r="H31" s="70"/>
      <c r="I31" s="70"/>
      <c r="J31" s="66"/>
      <c r="K31" s="70"/>
      <c r="N31" s="1"/>
      <c r="Q31" s="90"/>
      <c r="S31" s="1"/>
      <c r="U31" s="90"/>
      <c r="V31" s="90"/>
    </row>
    <row r="32" spans="2:22" x14ac:dyDescent="0.25">
      <c r="B32" s="157" t="s">
        <v>149</v>
      </c>
      <c r="C32" s="158"/>
      <c r="D32" s="159">
        <f>19034.51/12</f>
        <v>1586.2091666666665</v>
      </c>
      <c r="E32" s="159">
        <v>39.31</v>
      </c>
      <c r="F32" s="159"/>
      <c r="G32" s="159"/>
      <c r="H32" s="159"/>
      <c r="I32" s="159">
        <v>61.06</v>
      </c>
      <c r="J32" s="158"/>
      <c r="K32" s="159">
        <f>+((D32+F32)*13)+(E32*12)+(I32*13)</f>
        <v>21886.219166666666</v>
      </c>
      <c r="N32" s="1"/>
      <c r="Q32" s="90"/>
      <c r="S32" s="1"/>
      <c r="U32" s="90"/>
      <c r="V32" s="90"/>
    </row>
    <row r="33" spans="2:22" x14ac:dyDescent="0.25">
      <c r="B33" s="65"/>
      <c r="C33" s="66"/>
      <c r="D33" s="70"/>
      <c r="E33" s="70"/>
      <c r="F33" s="70"/>
      <c r="G33" s="70"/>
      <c r="H33" s="70"/>
      <c r="I33" s="70"/>
      <c r="J33" s="66"/>
      <c r="K33" s="70"/>
      <c r="R33" s="1"/>
      <c r="S33" s="1"/>
      <c r="U33" s="276"/>
      <c r="V33" s="276"/>
    </row>
    <row r="34" spans="2:22" x14ac:dyDescent="0.25">
      <c r="B34" s="65"/>
      <c r="C34" s="66"/>
      <c r="D34" s="70"/>
      <c r="E34" s="70"/>
      <c r="F34" s="70"/>
      <c r="G34" s="70"/>
      <c r="H34" s="70"/>
      <c r="I34" s="70"/>
      <c r="J34" s="66"/>
      <c r="K34" s="70"/>
      <c r="R34" s="1"/>
      <c r="S34" s="1"/>
      <c r="U34" s="276"/>
      <c r="V34" s="276"/>
    </row>
    <row r="35" spans="2:22" x14ac:dyDescent="0.25">
      <c r="B35" s="65"/>
      <c r="C35" s="66"/>
      <c r="D35" s="70"/>
      <c r="E35" s="70"/>
      <c r="F35" s="70"/>
      <c r="G35" s="70"/>
      <c r="H35" s="70"/>
      <c r="I35" s="70"/>
      <c r="J35" s="66"/>
      <c r="K35" s="70"/>
      <c r="R35" s="1"/>
      <c r="S35" s="1"/>
      <c r="U35" s="91"/>
      <c r="V35" s="91"/>
    </row>
    <row r="36" spans="2:22" x14ac:dyDescent="0.25">
      <c r="B36" s="65"/>
      <c r="C36" s="66"/>
      <c r="D36" s="70"/>
      <c r="E36" s="70"/>
      <c r="F36" s="70"/>
      <c r="G36" s="70"/>
      <c r="H36" s="70"/>
      <c r="I36" s="70"/>
      <c r="J36" s="66"/>
      <c r="K36" s="70"/>
      <c r="R36" s="1"/>
      <c r="S36" s="1"/>
      <c r="U36" s="91"/>
      <c r="V36" s="91"/>
    </row>
    <row r="37" spans="2:22" x14ac:dyDescent="0.25">
      <c r="B37" s="65"/>
      <c r="C37" s="66"/>
      <c r="D37" s="70"/>
      <c r="E37" s="70"/>
      <c r="F37" s="70"/>
      <c r="G37" s="70"/>
      <c r="H37" s="70"/>
      <c r="I37" s="70"/>
      <c r="J37" s="66"/>
      <c r="K37" s="70"/>
      <c r="R37" s="1"/>
      <c r="S37" s="1"/>
      <c r="U37" s="91"/>
      <c r="V37" s="91"/>
    </row>
    <row r="38" spans="2:22" x14ac:dyDescent="0.25">
      <c r="B38" s="157" t="s">
        <v>6</v>
      </c>
      <c r="C38" s="158"/>
      <c r="D38" s="159">
        <v>1782.74</v>
      </c>
      <c r="E38" s="159">
        <v>45.8</v>
      </c>
      <c r="F38" s="159"/>
      <c r="G38" s="159"/>
      <c r="H38" s="159"/>
      <c r="I38" s="159">
        <v>68.61</v>
      </c>
      <c r="J38" s="158"/>
      <c r="K38" s="159">
        <f t="shared" ref="K38" si="1">+((D38+F38)*13)+(E38*12)+(I38*13)</f>
        <v>24617.149999999998</v>
      </c>
      <c r="L38" s="1"/>
      <c r="M38" s="1"/>
    </row>
    <row r="39" spans="2:22" x14ac:dyDescent="0.25">
      <c r="B39" s="65"/>
      <c r="C39" s="66"/>
      <c r="D39" s="70"/>
      <c r="E39" s="70"/>
      <c r="F39" s="70"/>
      <c r="G39" s="70"/>
      <c r="H39" s="70"/>
      <c r="I39" s="70"/>
      <c r="J39" s="66"/>
      <c r="K39" s="70"/>
      <c r="R39" s="1"/>
      <c r="S39" s="1"/>
      <c r="U39" s="92"/>
      <c r="V39" s="92"/>
    </row>
    <row r="40" spans="2:22" x14ac:dyDescent="0.25">
      <c r="B40" s="65"/>
      <c r="C40" s="66"/>
      <c r="D40" s="70"/>
      <c r="E40" s="70"/>
      <c r="F40" s="70"/>
      <c r="G40" s="70"/>
      <c r="H40" s="70"/>
      <c r="I40" s="70"/>
      <c r="J40" s="66"/>
      <c r="K40" s="70"/>
    </row>
    <row r="41" spans="2:22" x14ac:dyDescent="0.25">
      <c r="B41" s="65"/>
      <c r="C41" s="66"/>
      <c r="D41" s="70"/>
      <c r="E41" s="70"/>
      <c r="F41" s="70"/>
      <c r="G41" s="70"/>
      <c r="H41" s="70"/>
      <c r="I41" s="70"/>
      <c r="J41" s="66"/>
      <c r="K41" s="70"/>
      <c r="U41" s="91"/>
      <c r="V41" s="91"/>
    </row>
    <row r="42" spans="2:22" x14ac:dyDescent="0.25">
      <c r="B42" s="65"/>
      <c r="C42" s="66"/>
      <c r="D42" s="70"/>
      <c r="E42" s="70"/>
      <c r="F42" s="70"/>
      <c r="G42" s="70"/>
      <c r="H42" s="70"/>
      <c r="I42" s="70"/>
      <c r="J42" s="66"/>
      <c r="K42" s="70"/>
      <c r="V42" s="1"/>
    </row>
    <row r="43" spans="2:22" x14ac:dyDescent="0.25">
      <c r="B43" s="157" t="s">
        <v>7</v>
      </c>
      <c r="C43" s="158"/>
      <c r="D43" s="159">
        <v>1934.36</v>
      </c>
      <c r="E43" s="159">
        <v>51.9</v>
      </c>
      <c r="F43" s="159"/>
      <c r="G43" s="159"/>
      <c r="H43" s="159"/>
      <c r="I43" s="159">
        <v>78</v>
      </c>
      <c r="J43" s="158"/>
      <c r="K43" s="159">
        <f>+((D43+F43)*13)+(E43*12)+(I43*13)</f>
        <v>26783.48</v>
      </c>
      <c r="P43" s="1"/>
      <c r="V43" s="1"/>
    </row>
    <row r="44" spans="2:22" x14ac:dyDescent="0.25">
      <c r="B44" s="65"/>
      <c r="C44" s="66"/>
      <c r="D44" s="70"/>
      <c r="E44" s="70"/>
      <c r="F44" s="70"/>
      <c r="G44" s="70"/>
      <c r="H44" s="70"/>
      <c r="I44" s="70"/>
      <c r="J44" s="66"/>
      <c r="K44" s="70"/>
      <c r="V44" s="1"/>
    </row>
    <row r="45" spans="2:22" x14ac:dyDescent="0.25">
      <c r="B45" s="65"/>
      <c r="C45" s="66"/>
      <c r="D45" s="70"/>
      <c r="E45" s="70"/>
      <c r="F45" s="70"/>
      <c r="G45" s="70"/>
      <c r="H45" s="70"/>
      <c r="I45" s="70"/>
      <c r="J45" s="66"/>
      <c r="K45" s="70"/>
      <c r="V45" s="1"/>
    </row>
    <row r="46" spans="2:22" x14ac:dyDescent="0.25">
      <c r="B46" s="65"/>
      <c r="C46" s="66"/>
      <c r="D46" s="70"/>
      <c r="E46" s="70"/>
      <c r="F46" s="70"/>
      <c r="G46" s="70"/>
      <c r="H46" s="70"/>
      <c r="I46" s="70"/>
      <c r="J46" s="66"/>
      <c r="K46" s="70"/>
    </row>
    <row r="47" spans="2:22" x14ac:dyDescent="0.25">
      <c r="B47" s="65"/>
      <c r="C47" s="66"/>
      <c r="D47" s="70"/>
      <c r="E47" s="70"/>
      <c r="F47" s="70"/>
      <c r="G47" s="70"/>
      <c r="H47" s="70"/>
      <c r="I47" s="70"/>
      <c r="J47" s="66"/>
      <c r="K47" s="70"/>
    </row>
    <row r="48" spans="2:22" x14ac:dyDescent="0.25">
      <c r="B48" s="65"/>
      <c r="C48" s="66"/>
      <c r="D48" s="70"/>
      <c r="E48" s="70"/>
      <c r="F48" s="70"/>
      <c r="G48" s="70"/>
      <c r="H48" s="70"/>
      <c r="I48" s="70"/>
      <c r="J48" s="66"/>
      <c r="K48" s="70"/>
    </row>
    <row r="51" spans="2:17" x14ac:dyDescent="0.25">
      <c r="B51" s="65"/>
      <c r="C51" s="66"/>
      <c r="D51" s="277" t="s">
        <v>72</v>
      </c>
      <c r="E51" s="277" t="s">
        <v>73</v>
      </c>
      <c r="F51" s="277" t="s">
        <v>74</v>
      </c>
      <c r="G51" s="278" t="s">
        <v>68</v>
      </c>
      <c r="H51" s="278"/>
      <c r="I51" s="278"/>
      <c r="J51" s="66"/>
      <c r="K51" s="277" t="s">
        <v>16</v>
      </c>
    </row>
    <row r="52" spans="2:17" x14ac:dyDescent="0.25">
      <c r="B52" s="68"/>
      <c r="C52" s="69"/>
      <c r="D52" s="277"/>
      <c r="E52" s="277"/>
      <c r="F52" s="277"/>
      <c r="G52" s="67"/>
      <c r="H52" s="67"/>
      <c r="I52" s="67" t="s">
        <v>99</v>
      </c>
      <c r="J52" s="69"/>
      <c r="K52" s="277"/>
    </row>
    <row r="53" spans="2:17" x14ac:dyDescent="0.25">
      <c r="B53" s="68" t="s">
        <v>113</v>
      </c>
      <c r="C53" s="69"/>
      <c r="D53" s="70">
        <f>+D30-D4</f>
        <v>-1440.86</v>
      </c>
      <c r="E53" s="70">
        <f>+E30-E4</f>
        <v>-32.4</v>
      </c>
      <c r="F53" s="70"/>
      <c r="G53" s="70"/>
      <c r="H53" s="70"/>
      <c r="I53" s="70">
        <f>+I30-I4</f>
        <v>-17.29</v>
      </c>
      <c r="J53" s="66"/>
      <c r="K53" s="70">
        <f>+K30-K4</f>
        <v>-19691.509999999998</v>
      </c>
    </row>
    <row r="54" spans="2:17" x14ac:dyDescent="0.25">
      <c r="B54" s="65" t="s">
        <v>71</v>
      </c>
      <c r="C54" s="66"/>
      <c r="D54" s="70">
        <f>+D31-D5</f>
        <v>-1471.38</v>
      </c>
      <c r="E54" s="70">
        <f t="shared" ref="E54:I54" si="2">+E31-E5</f>
        <v>-32.4</v>
      </c>
      <c r="F54" s="70"/>
      <c r="G54" s="70"/>
      <c r="H54" s="70"/>
      <c r="I54" s="70">
        <f t="shared" si="2"/>
        <v>-17.66</v>
      </c>
      <c r="J54" s="66"/>
      <c r="K54" s="70">
        <f t="shared" ref="K54" si="3">+K31-K5</f>
        <v>-20079.390000000003</v>
      </c>
      <c r="N54" s="1"/>
      <c r="O54" s="97"/>
      <c r="P54" s="97"/>
      <c r="Q54" s="97"/>
    </row>
    <row r="55" spans="2:17" x14ac:dyDescent="0.25">
      <c r="B55" s="65" t="s">
        <v>78</v>
      </c>
      <c r="C55" s="66"/>
      <c r="D55" s="70">
        <f t="shared" ref="D55:E58" si="4">+D33-D7</f>
        <v>-1527.83</v>
      </c>
      <c r="E55" s="70">
        <f t="shared" si="4"/>
        <v>-39.31</v>
      </c>
      <c r="F55" s="70"/>
      <c r="G55" s="70"/>
      <c r="H55" s="70"/>
      <c r="I55" s="70">
        <f>+I33-I7</f>
        <v>-18.329999999999998</v>
      </c>
      <c r="J55" s="66"/>
      <c r="K55" s="70">
        <f>+K33-K7</f>
        <v>-20877.7</v>
      </c>
      <c r="N55" s="1"/>
      <c r="O55" s="94"/>
      <c r="P55" s="94"/>
      <c r="Q55" s="94"/>
    </row>
    <row r="56" spans="2:17" x14ac:dyDescent="0.25">
      <c r="B56" s="65" t="s">
        <v>9</v>
      </c>
      <c r="C56" s="66"/>
      <c r="D56" s="70">
        <f t="shared" si="4"/>
        <v>-1588.65</v>
      </c>
      <c r="E56" s="70">
        <f t="shared" si="4"/>
        <v>-39.31</v>
      </c>
      <c r="F56" s="70"/>
      <c r="G56" s="70"/>
      <c r="H56" s="70"/>
      <c r="I56" s="70">
        <f>+I34-I8</f>
        <v>-19.059999999999999</v>
      </c>
      <c r="J56" s="66"/>
      <c r="K56" s="70">
        <f>+K34-K8</f>
        <v>-21650.620000000003</v>
      </c>
      <c r="N56" s="1"/>
      <c r="O56" s="94"/>
      <c r="P56" s="94"/>
      <c r="Q56" s="94"/>
    </row>
    <row r="57" spans="2:17" x14ac:dyDescent="0.25">
      <c r="B57" s="65" t="s">
        <v>64</v>
      </c>
      <c r="C57" s="66"/>
      <c r="D57" s="70">
        <f t="shared" si="4"/>
        <v>-1611.94</v>
      </c>
      <c r="E57" s="70">
        <f t="shared" si="4"/>
        <v>-39.31</v>
      </c>
      <c r="F57" s="70"/>
      <c r="G57" s="70"/>
      <c r="H57" s="70"/>
      <c r="I57" s="70">
        <f>+I35-I9</f>
        <v>-19.34</v>
      </c>
      <c r="J57" s="66"/>
      <c r="K57" s="70">
        <f>+K35-K9</f>
        <v>-21956.520000000004</v>
      </c>
      <c r="N57" s="1"/>
      <c r="O57" s="94"/>
      <c r="P57" s="94"/>
      <c r="Q57" s="94"/>
    </row>
    <row r="58" spans="2:17" x14ac:dyDescent="0.25">
      <c r="B58" s="65" t="s">
        <v>4</v>
      </c>
      <c r="C58" s="66"/>
      <c r="D58" s="70">
        <f t="shared" si="4"/>
        <v>-1639.16</v>
      </c>
      <c r="E58" s="70">
        <f t="shared" si="4"/>
        <v>-39.31</v>
      </c>
      <c r="F58" s="70"/>
      <c r="G58" s="70"/>
      <c r="H58" s="70"/>
      <c r="I58" s="70">
        <f>+I36-I10</f>
        <v>-19.670000000000002</v>
      </c>
      <c r="J58" s="66"/>
      <c r="K58" s="70">
        <f>+K36-K10</f>
        <v>-22301.070000000003</v>
      </c>
      <c r="N58" s="1"/>
      <c r="O58" s="94"/>
      <c r="P58" s="94"/>
      <c r="Q58" s="94"/>
    </row>
    <row r="59" spans="2:17" x14ac:dyDescent="0.25">
      <c r="B59" s="65" t="s">
        <v>6</v>
      </c>
      <c r="C59" s="66"/>
      <c r="D59" s="70">
        <f t="shared" ref="D59:E69" si="5">+D38-D12</f>
        <v>87.400000000000091</v>
      </c>
      <c r="E59" s="70">
        <f t="shared" si="5"/>
        <v>0</v>
      </c>
      <c r="F59" s="70"/>
      <c r="G59" s="70"/>
      <c r="H59" s="70"/>
      <c r="I59" s="70">
        <f t="shared" ref="I59:I69" si="6">+I38-I12</f>
        <v>48.26</v>
      </c>
      <c r="J59" s="66"/>
      <c r="K59" s="70">
        <f t="shared" ref="K59:K69" si="7">+K38-K12</f>
        <v>1500.1900000000023</v>
      </c>
      <c r="N59" s="1"/>
      <c r="O59" s="94"/>
      <c r="P59" s="94"/>
      <c r="Q59" s="94"/>
    </row>
    <row r="60" spans="2:17" x14ac:dyDescent="0.25">
      <c r="B60" s="65" t="s">
        <v>27</v>
      </c>
      <c r="C60" s="66"/>
      <c r="D60" s="70">
        <f t="shared" si="5"/>
        <v>-1735.77</v>
      </c>
      <c r="E60" s="70">
        <f t="shared" si="5"/>
        <v>-45.8</v>
      </c>
      <c r="F60" s="70"/>
      <c r="G60" s="70"/>
      <c r="H60" s="70"/>
      <c r="I60" s="70">
        <f t="shared" si="6"/>
        <v>-20.83</v>
      </c>
      <c r="J60" s="66"/>
      <c r="K60" s="70">
        <f t="shared" si="7"/>
        <v>-23634.949999999997</v>
      </c>
      <c r="N60" s="1"/>
    </row>
    <row r="61" spans="2:17" x14ac:dyDescent="0.25">
      <c r="B61" s="65" t="s">
        <v>28</v>
      </c>
      <c r="C61" s="66"/>
      <c r="D61" s="70">
        <f t="shared" si="5"/>
        <v>-1784.15</v>
      </c>
      <c r="E61" s="70">
        <f t="shared" si="5"/>
        <v>-45.8</v>
      </c>
      <c r="F61" s="70"/>
      <c r="G61" s="70"/>
      <c r="H61" s="70"/>
      <c r="I61" s="70">
        <f t="shared" si="6"/>
        <v>-21.41</v>
      </c>
      <c r="J61" s="66"/>
      <c r="K61" s="70">
        <f t="shared" si="7"/>
        <v>-24244.41</v>
      </c>
      <c r="N61" s="1"/>
    </row>
    <row r="62" spans="2:17" x14ac:dyDescent="0.25">
      <c r="B62" s="65" t="s">
        <v>59</v>
      </c>
      <c r="C62" s="66"/>
      <c r="D62" s="70">
        <f t="shared" si="5"/>
        <v>-1840.51</v>
      </c>
      <c r="E62" s="70">
        <f t="shared" si="5"/>
        <v>-45.8</v>
      </c>
      <c r="F62" s="70"/>
      <c r="G62" s="70"/>
      <c r="H62" s="70"/>
      <c r="I62" s="70">
        <f t="shared" si="6"/>
        <v>-22.08</v>
      </c>
      <c r="J62" s="66"/>
      <c r="K62" s="70">
        <f t="shared" si="7"/>
        <v>-24958.63</v>
      </c>
      <c r="N62" s="1"/>
      <c r="P62" s="94"/>
    </row>
    <row r="63" spans="2:17" x14ac:dyDescent="0.25">
      <c r="B63" s="65" t="s">
        <v>70</v>
      </c>
      <c r="C63" s="66"/>
      <c r="D63" s="70">
        <f t="shared" si="5"/>
        <v>-1908.6</v>
      </c>
      <c r="E63" s="70">
        <f t="shared" si="5"/>
        <v>-45.8</v>
      </c>
      <c r="F63" s="70"/>
      <c r="G63" s="70"/>
      <c r="H63" s="70"/>
      <c r="I63" s="70">
        <f t="shared" si="6"/>
        <v>-22.9</v>
      </c>
      <c r="J63" s="66"/>
      <c r="K63" s="70">
        <f t="shared" si="7"/>
        <v>-25840.05</v>
      </c>
      <c r="N63" s="1"/>
      <c r="P63" s="94"/>
    </row>
    <row r="64" spans="2:17" x14ac:dyDescent="0.25">
      <c r="B64" s="65" t="s">
        <v>7</v>
      </c>
      <c r="C64" s="66"/>
      <c r="D64" s="70">
        <f t="shared" si="5"/>
        <v>89.740000000000009</v>
      </c>
      <c r="E64" s="70">
        <f t="shared" si="5"/>
        <v>0</v>
      </c>
      <c r="F64" s="70"/>
      <c r="G64" s="70"/>
      <c r="H64" s="70"/>
      <c r="I64" s="70">
        <f t="shared" si="6"/>
        <v>55.870000000000005</v>
      </c>
      <c r="J64" s="66"/>
      <c r="K64" s="70">
        <f t="shared" si="7"/>
        <v>1684.6600000000035</v>
      </c>
      <c r="N64" s="1"/>
      <c r="P64" s="94"/>
    </row>
    <row r="65" spans="2:16" x14ac:dyDescent="0.25">
      <c r="B65" s="65" t="s">
        <v>95</v>
      </c>
      <c r="C65" s="66"/>
      <c r="D65" s="70">
        <f t="shared" si="5"/>
        <v>-1935</v>
      </c>
      <c r="E65" s="70">
        <f t="shared" si="5"/>
        <v>-51.9</v>
      </c>
      <c r="F65" s="70"/>
      <c r="G65" s="70"/>
      <c r="H65" s="70"/>
      <c r="I65" s="70">
        <f t="shared" si="6"/>
        <v>-23.23</v>
      </c>
      <c r="J65" s="66"/>
      <c r="K65" s="70">
        <f t="shared" si="7"/>
        <v>-26247.14</v>
      </c>
      <c r="N65" s="1"/>
      <c r="P65" s="95"/>
    </row>
    <row r="66" spans="2:16" x14ac:dyDescent="0.25">
      <c r="B66" s="65" t="s">
        <v>69</v>
      </c>
      <c r="C66" s="66"/>
      <c r="D66" s="70">
        <f t="shared" si="5"/>
        <v>-2120.9899999999998</v>
      </c>
      <c r="E66" s="70">
        <f t="shared" si="5"/>
        <v>-51.9</v>
      </c>
      <c r="F66" s="70"/>
      <c r="G66" s="70"/>
      <c r="H66" s="70"/>
      <c r="I66" s="70">
        <f t="shared" si="6"/>
        <v>-25.45</v>
      </c>
      <c r="J66" s="66"/>
      <c r="K66" s="70">
        <f t="shared" si="7"/>
        <v>-28598.999999999996</v>
      </c>
      <c r="N66" s="1"/>
      <c r="P66" s="96"/>
    </row>
    <row r="67" spans="2:16" x14ac:dyDescent="0.25">
      <c r="B67" s="65" t="s">
        <v>63</v>
      </c>
      <c r="C67" s="66"/>
      <c r="D67" s="70">
        <f t="shared" si="5"/>
        <v>-2211.5700000000002</v>
      </c>
      <c r="E67" s="70">
        <f t="shared" si="5"/>
        <v>-51.9</v>
      </c>
      <c r="F67" s="70"/>
      <c r="G67" s="70"/>
      <c r="H67" s="70"/>
      <c r="I67" s="70">
        <f t="shared" si="6"/>
        <v>-26.54</v>
      </c>
      <c r="J67" s="66"/>
      <c r="K67" s="70">
        <f t="shared" si="7"/>
        <v>-29749.760000000002</v>
      </c>
      <c r="N67" s="1"/>
      <c r="P67" s="96"/>
    </row>
    <row r="68" spans="2:16" x14ac:dyDescent="0.25">
      <c r="B68" s="65" t="s">
        <v>25</v>
      </c>
      <c r="C68" s="66"/>
      <c r="D68" s="70">
        <f t="shared" si="5"/>
        <v>-2310.31</v>
      </c>
      <c r="E68" s="70">
        <f t="shared" si="5"/>
        <v>-51.9</v>
      </c>
      <c r="F68" s="70"/>
      <c r="G68" s="70"/>
      <c r="H68" s="70"/>
      <c r="I68" s="70">
        <f t="shared" si="6"/>
        <v>-27.72</v>
      </c>
      <c r="J68" s="66"/>
      <c r="K68" s="70">
        <f t="shared" si="7"/>
        <v>-30994.679999999997</v>
      </c>
      <c r="N68" s="1"/>
    </row>
    <row r="69" spans="2:16" x14ac:dyDescent="0.25">
      <c r="B69" s="65" t="s">
        <v>79</v>
      </c>
      <c r="C69" s="66"/>
      <c r="D69" s="70">
        <f t="shared" si="5"/>
        <v>-2469.9</v>
      </c>
      <c r="E69" s="70">
        <f t="shared" si="5"/>
        <v>-51.9</v>
      </c>
      <c r="F69" s="70"/>
      <c r="G69" s="70"/>
      <c r="H69" s="70"/>
      <c r="I69" s="70">
        <f t="shared" si="6"/>
        <v>-29.64</v>
      </c>
      <c r="J69" s="66"/>
      <c r="K69" s="70">
        <f t="shared" si="7"/>
        <v>-33090.949999999997</v>
      </c>
      <c r="N69" s="1"/>
    </row>
    <row r="70" spans="2:16" x14ac:dyDescent="0.25">
      <c r="P70" s="94"/>
    </row>
    <row r="71" spans="2:16" x14ac:dyDescent="0.25">
      <c r="P71" s="94"/>
    </row>
    <row r="73" spans="2:16" x14ac:dyDescent="0.25">
      <c r="P73" s="95"/>
    </row>
  </sheetData>
  <mergeCells count="17">
    <mergeCell ref="D51:D52"/>
    <mergeCell ref="E51:E52"/>
    <mergeCell ref="F51:F52"/>
    <mergeCell ref="G51:I51"/>
    <mergeCell ref="K51:K52"/>
    <mergeCell ref="U33:U34"/>
    <mergeCell ref="V33:V34"/>
    <mergeCell ref="D2:D3"/>
    <mergeCell ref="E2:E3"/>
    <mergeCell ref="F2:F3"/>
    <mergeCell ref="G2:I2"/>
    <mergeCell ref="K2:K3"/>
    <mergeCell ref="D28:D29"/>
    <mergeCell ref="E28:E29"/>
    <mergeCell ref="F28:F29"/>
    <mergeCell ref="G28:I28"/>
    <mergeCell ref="K28:K29"/>
  </mergeCells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"/>
  <sheetViews>
    <sheetView zoomScale="90" zoomScaleNormal="90" workbookViewId="0">
      <selection activeCell="E8" sqref="E8"/>
    </sheetView>
  </sheetViews>
  <sheetFormatPr defaultColWidth="8.85546875" defaultRowHeight="15" x14ac:dyDescent="0.25"/>
  <cols>
    <col min="1" max="1" width="45.28515625" customWidth="1"/>
    <col min="2" max="2" width="21" customWidth="1"/>
    <col min="3" max="8" width="10.85546875" customWidth="1"/>
    <col min="9" max="9" width="15.28515625" customWidth="1"/>
    <col min="10" max="10" width="14.140625" hidden="1" customWidth="1"/>
    <col min="11" max="11" width="12.7109375" hidden="1" customWidth="1"/>
    <col min="12" max="12" width="12" hidden="1" customWidth="1"/>
    <col min="13" max="13" width="11.85546875" hidden="1" customWidth="1"/>
    <col min="14" max="14" width="11.7109375" hidden="1" customWidth="1"/>
    <col min="15" max="15" width="12" hidden="1" customWidth="1"/>
    <col min="16" max="16" width="10.42578125" hidden="1" customWidth="1"/>
    <col min="17" max="17" width="11.28515625" hidden="1" customWidth="1"/>
    <col min="18" max="18" width="11" hidden="1" customWidth="1"/>
    <col min="19" max="20" width="10.42578125" hidden="1" customWidth="1"/>
    <col min="21" max="21" width="11" hidden="1" customWidth="1"/>
    <col min="22" max="22" width="12.42578125" hidden="1" customWidth="1"/>
  </cols>
  <sheetData>
    <row r="1" spans="1:22" s="107" customFormat="1" ht="63.75" customHeight="1" x14ac:dyDescent="0.25">
      <c r="A1" s="103" t="s">
        <v>14</v>
      </c>
      <c r="B1" s="105" t="s">
        <v>163</v>
      </c>
      <c r="C1" s="103" t="s">
        <v>3</v>
      </c>
      <c r="D1" s="155"/>
      <c r="E1" s="155"/>
      <c r="F1" s="155"/>
      <c r="G1" s="155"/>
      <c r="H1" s="155"/>
      <c r="I1" s="104" t="s">
        <v>164</v>
      </c>
      <c r="J1" s="104" t="s">
        <v>104</v>
      </c>
      <c r="K1" s="103" t="s">
        <v>105</v>
      </c>
      <c r="L1" s="103" t="s">
        <v>106</v>
      </c>
      <c r="M1" s="103" t="s">
        <v>107</v>
      </c>
      <c r="N1" s="105" t="s">
        <v>108</v>
      </c>
      <c r="O1" s="105" t="s">
        <v>109</v>
      </c>
      <c r="P1" s="103" t="s">
        <v>0</v>
      </c>
      <c r="Q1" s="103" t="s">
        <v>2</v>
      </c>
      <c r="R1" s="103" t="s">
        <v>110</v>
      </c>
      <c r="S1" s="103" t="s">
        <v>111</v>
      </c>
      <c r="T1" s="103" t="s">
        <v>1</v>
      </c>
      <c r="U1" s="106" t="s">
        <v>12</v>
      </c>
      <c r="V1" s="103" t="s">
        <v>103</v>
      </c>
    </row>
    <row r="2" spans="1:22" x14ac:dyDescent="0.25">
      <c r="A2" s="108" t="s">
        <v>160</v>
      </c>
      <c r="B2" s="109" t="s">
        <v>152</v>
      </c>
      <c r="C2" s="109">
        <v>36</v>
      </c>
      <c r="D2" s="156"/>
      <c r="E2" s="156"/>
      <c r="F2" s="156"/>
      <c r="G2" s="156"/>
      <c r="H2" s="156"/>
      <c r="I2" s="110" t="s">
        <v>149</v>
      </c>
      <c r="J2" s="111">
        <f>17290.31/12</f>
        <v>1440.8591666666669</v>
      </c>
      <c r="K2" s="112">
        <f>J2*13</f>
        <v>18731.16916666667</v>
      </c>
      <c r="L2" s="112">
        <f>32.4*12</f>
        <v>388.79999999999995</v>
      </c>
      <c r="M2" s="112">
        <v>10.09</v>
      </c>
      <c r="N2" s="113">
        <v>29</v>
      </c>
      <c r="O2" s="112">
        <f t="shared" ref="O2:O9" si="0">(M2+N2)*13</f>
        <v>508.17000000000007</v>
      </c>
      <c r="P2" s="112">
        <f>(K2+O2+L2)*0.085</f>
        <v>1668.3918291666671</v>
      </c>
      <c r="Q2" s="112">
        <f>SUM(K2:L2,P2)*0.238</f>
        <v>4947.6299170083339</v>
      </c>
      <c r="R2" s="112">
        <f>SUM(K2,L2,O2)*0.8*0.036</f>
        <v>565.29040800000007</v>
      </c>
      <c r="S2" s="112">
        <f>SUM(K2,L2,O2)*0.8*0.061</f>
        <v>957.85319133333348</v>
      </c>
      <c r="T2" s="112">
        <f>(SUM(K2,L2,O2)*22/1000)+(1%*(SUM(K2,L2,O2*22/1000)))</f>
        <v>623.13055073333339</v>
      </c>
      <c r="U2" s="114">
        <v>1</v>
      </c>
      <c r="V2" s="112">
        <f>U2*SUM(T2,Q2,O2,L2,K2,S2)</f>
        <v>26156.752825741671</v>
      </c>
    </row>
    <row r="3" spans="1:22" x14ac:dyDescent="0.25">
      <c r="A3" s="108" t="s">
        <v>161</v>
      </c>
      <c r="B3" s="109" t="s">
        <v>162</v>
      </c>
      <c r="C3" s="109">
        <v>36</v>
      </c>
      <c r="D3" s="156"/>
      <c r="E3" s="156"/>
      <c r="F3" s="156"/>
      <c r="G3" s="156"/>
      <c r="H3" s="156"/>
      <c r="I3" s="110" t="s">
        <v>5</v>
      </c>
      <c r="J3" s="111"/>
      <c r="K3" s="112"/>
      <c r="L3" s="112"/>
      <c r="M3" s="112"/>
      <c r="N3" s="113"/>
      <c r="O3" s="112"/>
      <c r="P3" s="112"/>
      <c r="Q3" s="112"/>
      <c r="R3" s="112"/>
      <c r="S3" s="112"/>
      <c r="T3" s="112"/>
      <c r="U3" s="114"/>
      <c r="V3" s="112"/>
    </row>
    <row r="4" spans="1:22" x14ac:dyDescent="0.25">
      <c r="A4" s="108" t="s">
        <v>158</v>
      </c>
      <c r="B4" s="109" t="s">
        <v>153</v>
      </c>
      <c r="C4" s="109">
        <v>36</v>
      </c>
      <c r="D4" s="156"/>
      <c r="E4" s="156"/>
      <c r="F4" s="156"/>
      <c r="G4" s="156"/>
      <c r="H4" s="156"/>
      <c r="I4" s="110" t="s">
        <v>6</v>
      </c>
      <c r="J4" s="111">
        <f>20344.07/12</f>
        <v>1695.3391666666666</v>
      </c>
      <c r="K4" s="112">
        <f t="shared" ref="K4:K9" si="1">J4*13</f>
        <v>22039.409166666665</v>
      </c>
      <c r="L4" s="112">
        <f t="shared" ref="L4" si="2">39.31*12</f>
        <v>471.72</v>
      </c>
      <c r="M4" s="112">
        <v>11.47</v>
      </c>
      <c r="N4" s="112">
        <v>23</v>
      </c>
      <c r="O4" s="112">
        <f t="shared" si="0"/>
        <v>448.11</v>
      </c>
      <c r="P4" s="112">
        <f t="shared" ref="P4:P11" si="3">(K4+O4+L4)*0.085</f>
        <v>1951.5353291666668</v>
      </c>
      <c r="Q4" s="112">
        <f t="shared" ref="Q4:Q11" si="4">SUM(K4:L4,P4)*0.238</f>
        <v>5822.1141500083322</v>
      </c>
      <c r="R4" s="112">
        <f t="shared" ref="R4:R9" si="5">SUM(K4,L4,O4)*0.8*0.036</f>
        <v>661.22608799999989</v>
      </c>
      <c r="S4" s="112">
        <f t="shared" ref="S4:S9" si="6">SUM(K4,L4,O4)*0.8*0.061</f>
        <v>1120.4108713333333</v>
      </c>
      <c r="T4" s="112">
        <f t="shared" ref="T4:T11" si="7">(SUM(K4,L4,O4)*22/1000)+(1%*(SUM(K4,L4,O4*22/1000)))</f>
        <v>730.31313753333325</v>
      </c>
      <c r="U4" s="112">
        <v>1</v>
      </c>
      <c r="V4" s="112">
        <f t="shared" ref="V4:V9" si="8">U4*SUM(T4,Q4,O4,L4,K4,S4)</f>
        <v>30632.077325541664</v>
      </c>
    </row>
    <row r="5" spans="1:22" x14ac:dyDescent="0.25">
      <c r="A5" s="108" t="s">
        <v>159</v>
      </c>
      <c r="B5" s="109" t="s">
        <v>153</v>
      </c>
      <c r="C5" s="109">
        <v>36</v>
      </c>
      <c r="D5" s="156"/>
      <c r="E5" s="156"/>
      <c r="F5" s="156"/>
      <c r="G5" s="156"/>
      <c r="H5" s="156"/>
      <c r="I5" s="110" t="s">
        <v>6</v>
      </c>
      <c r="J5" s="111">
        <f>20344.07/12</f>
        <v>1695.3391666666666</v>
      </c>
      <c r="K5" s="112">
        <f t="shared" si="1"/>
        <v>22039.409166666665</v>
      </c>
      <c r="L5" s="112">
        <f t="shared" ref="L5" si="9">45.8*12</f>
        <v>549.59999999999991</v>
      </c>
      <c r="M5" s="112">
        <v>11.87</v>
      </c>
      <c r="N5" s="112">
        <v>23</v>
      </c>
      <c r="O5" s="112">
        <f t="shared" si="0"/>
        <v>453.30999999999995</v>
      </c>
      <c r="P5" s="112">
        <f t="shared" si="3"/>
        <v>1958.5971291666667</v>
      </c>
      <c r="Q5" s="112">
        <f t="shared" si="4"/>
        <v>5842.330298408333</v>
      </c>
      <c r="R5" s="112">
        <f t="shared" si="5"/>
        <v>663.61879199999998</v>
      </c>
      <c r="S5" s="112">
        <f t="shared" si="6"/>
        <v>1124.4651753333333</v>
      </c>
      <c r="T5" s="112">
        <f t="shared" si="7"/>
        <v>732.92084153333326</v>
      </c>
      <c r="U5" s="112">
        <v>1</v>
      </c>
      <c r="V5" s="112">
        <f t="shared" si="8"/>
        <v>30742.035481941664</v>
      </c>
    </row>
    <row r="6" spans="1:22" x14ac:dyDescent="0.25">
      <c r="A6" s="108" t="s">
        <v>154</v>
      </c>
      <c r="B6" s="109" t="s">
        <v>165</v>
      </c>
      <c r="C6" s="109">
        <v>36</v>
      </c>
      <c r="D6" s="156"/>
      <c r="E6" s="156"/>
      <c r="F6" s="156"/>
      <c r="G6" s="156"/>
      <c r="H6" s="156"/>
      <c r="I6" s="110" t="s">
        <v>7</v>
      </c>
      <c r="J6" s="111">
        <f>22135.47/12</f>
        <v>1844.6225000000002</v>
      </c>
      <c r="K6" s="112">
        <f t="shared" si="1"/>
        <v>23980.092500000002</v>
      </c>
      <c r="L6" s="112">
        <f t="shared" ref="L6:L9" si="10">51.9*12</f>
        <v>622.79999999999995</v>
      </c>
      <c r="M6" s="112">
        <v>12.91</v>
      </c>
      <c r="N6" s="112">
        <v>19</v>
      </c>
      <c r="O6" s="112">
        <f t="shared" si="0"/>
        <v>414.83</v>
      </c>
      <c r="P6" s="112">
        <f t="shared" si="3"/>
        <v>2126.5064125000004</v>
      </c>
      <c r="Q6" s="112">
        <f t="shared" si="4"/>
        <v>6361.5969411750002</v>
      </c>
      <c r="R6" s="112">
        <f t="shared" si="5"/>
        <v>720.5104080000001</v>
      </c>
      <c r="S6" s="112">
        <f t="shared" si="6"/>
        <v>1220.8648580000001</v>
      </c>
      <c r="T6" s="112">
        <f t="shared" si="7"/>
        <v>796.51008260000003</v>
      </c>
      <c r="U6" s="112">
        <v>1</v>
      </c>
      <c r="V6" s="112">
        <f t="shared" si="8"/>
        <v>33396.694381775</v>
      </c>
    </row>
    <row r="7" spans="1:22" x14ac:dyDescent="0.25">
      <c r="A7" s="108" t="s">
        <v>155</v>
      </c>
      <c r="B7" s="109" t="s">
        <v>165</v>
      </c>
      <c r="C7" s="109">
        <v>18</v>
      </c>
      <c r="D7" s="156"/>
      <c r="E7" s="156"/>
      <c r="F7" s="156"/>
      <c r="G7" s="156"/>
      <c r="H7" s="156"/>
      <c r="I7" s="110" t="s">
        <v>7</v>
      </c>
      <c r="J7" s="111">
        <f t="shared" ref="J7:J9" si="11">22135.47/12</f>
        <v>1844.6225000000002</v>
      </c>
      <c r="K7" s="112">
        <f t="shared" si="1"/>
        <v>23980.092500000002</v>
      </c>
      <c r="L7" s="112">
        <f t="shared" si="10"/>
        <v>622.79999999999995</v>
      </c>
      <c r="M7" s="112">
        <v>12.91</v>
      </c>
      <c r="N7" s="112">
        <v>19</v>
      </c>
      <c r="O7" s="112">
        <f t="shared" si="0"/>
        <v>414.83</v>
      </c>
      <c r="P7" s="112">
        <f t="shared" si="3"/>
        <v>2126.5064125000004</v>
      </c>
      <c r="Q7" s="112">
        <f t="shared" si="4"/>
        <v>6361.5969411750002</v>
      </c>
      <c r="R7" s="112">
        <f t="shared" si="5"/>
        <v>720.5104080000001</v>
      </c>
      <c r="S7" s="112">
        <f t="shared" si="6"/>
        <v>1220.8648580000001</v>
      </c>
      <c r="T7" s="112">
        <f t="shared" si="7"/>
        <v>796.51008260000003</v>
      </c>
      <c r="U7" s="112">
        <v>0.5</v>
      </c>
      <c r="V7" s="112">
        <f t="shared" si="8"/>
        <v>16698.3471908875</v>
      </c>
    </row>
    <row r="8" spans="1:22" x14ac:dyDescent="0.25">
      <c r="A8" s="108" t="s">
        <v>156</v>
      </c>
      <c r="B8" s="109" t="s">
        <v>165</v>
      </c>
      <c r="C8" s="109">
        <v>30</v>
      </c>
      <c r="D8" s="156"/>
      <c r="E8" s="156"/>
      <c r="F8" s="156"/>
      <c r="G8" s="156"/>
      <c r="H8" s="156"/>
      <c r="I8" s="110" t="s">
        <v>7</v>
      </c>
      <c r="J8" s="111">
        <f t="shared" si="11"/>
        <v>1844.6225000000002</v>
      </c>
      <c r="K8" s="112">
        <f t="shared" si="1"/>
        <v>23980.092500000002</v>
      </c>
      <c r="L8" s="112">
        <f t="shared" si="10"/>
        <v>622.79999999999995</v>
      </c>
      <c r="M8" s="112">
        <v>12.91</v>
      </c>
      <c r="N8" s="112">
        <v>19</v>
      </c>
      <c r="O8" s="112">
        <f t="shared" si="0"/>
        <v>414.83</v>
      </c>
      <c r="P8" s="112">
        <f t="shared" si="3"/>
        <v>2126.5064125000004</v>
      </c>
      <c r="Q8" s="112">
        <f t="shared" si="4"/>
        <v>6361.5969411750002</v>
      </c>
      <c r="R8" s="112">
        <f t="shared" si="5"/>
        <v>720.5104080000001</v>
      </c>
      <c r="S8" s="112">
        <f>SUM(K8,L8,O8)*0.8*0.061</f>
        <v>1220.8648580000001</v>
      </c>
      <c r="T8" s="112">
        <f t="shared" si="7"/>
        <v>796.51008260000003</v>
      </c>
      <c r="U8" s="112">
        <v>0.83</v>
      </c>
      <c r="V8" s="112">
        <f t="shared" si="8"/>
        <v>27719.256336873248</v>
      </c>
    </row>
    <row r="9" spans="1:22" x14ac:dyDescent="0.25">
      <c r="A9" s="108" t="s">
        <v>157</v>
      </c>
      <c r="B9" s="109" t="s">
        <v>165</v>
      </c>
      <c r="C9" s="109">
        <v>36</v>
      </c>
      <c r="D9" s="156"/>
      <c r="E9" s="156"/>
      <c r="F9" s="156"/>
      <c r="G9" s="156"/>
      <c r="H9" s="156"/>
      <c r="I9" s="110" t="s">
        <v>7</v>
      </c>
      <c r="J9" s="111">
        <f t="shared" si="11"/>
        <v>1844.6225000000002</v>
      </c>
      <c r="K9" s="112">
        <f t="shared" si="1"/>
        <v>23980.092500000002</v>
      </c>
      <c r="L9" s="112">
        <f t="shared" si="10"/>
        <v>622.79999999999995</v>
      </c>
      <c r="M9" s="112">
        <v>12.91</v>
      </c>
      <c r="N9" s="112">
        <v>19</v>
      </c>
      <c r="O9" s="112">
        <f t="shared" si="0"/>
        <v>414.83</v>
      </c>
      <c r="P9" s="112">
        <f t="shared" si="3"/>
        <v>2126.5064125000004</v>
      </c>
      <c r="Q9" s="112">
        <f t="shared" si="4"/>
        <v>6361.5969411750002</v>
      </c>
      <c r="R9" s="112">
        <f t="shared" si="5"/>
        <v>720.5104080000001</v>
      </c>
      <c r="S9" s="112">
        <f t="shared" si="6"/>
        <v>1220.8648580000001</v>
      </c>
      <c r="T9" s="112">
        <f t="shared" si="7"/>
        <v>796.51008260000003</v>
      </c>
      <c r="U9" s="112">
        <v>1</v>
      </c>
      <c r="V9" s="112">
        <f t="shared" si="8"/>
        <v>33396.694381775</v>
      </c>
    </row>
    <row r="10" spans="1:22" hidden="1" x14ac:dyDescent="0.25">
      <c r="A10" s="108"/>
      <c r="B10" s="108"/>
      <c r="C10" s="108"/>
      <c r="D10" s="154"/>
      <c r="E10" s="154"/>
      <c r="F10" s="154"/>
      <c r="G10" s="154"/>
      <c r="H10" s="154"/>
      <c r="I10" s="241" t="s">
        <v>114</v>
      </c>
      <c r="J10" s="242"/>
      <c r="K10" s="112">
        <v>18975</v>
      </c>
      <c r="L10" s="112"/>
      <c r="M10" s="112"/>
      <c r="N10" s="112"/>
      <c r="O10" s="112"/>
      <c r="P10" s="112">
        <f t="shared" si="3"/>
        <v>1612.8750000000002</v>
      </c>
      <c r="Q10" s="112">
        <f t="shared" si="4"/>
        <v>4899.9142499999998</v>
      </c>
      <c r="R10" s="112">
        <f>SUM(K10,L10,O27)*0.8*0.036</f>
        <v>546.4799999999999</v>
      </c>
      <c r="S10" s="112">
        <f t="shared" ref="S10:S11" si="12">SUM(K10:O10)*0.8*0.061</f>
        <v>925.98</v>
      </c>
      <c r="T10" s="112">
        <f t="shared" si="7"/>
        <v>607.20000000000005</v>
      </c>
      <c r="U10" s="112">
        <v>1</v>
      </c>
      <c r="V10" s="112">
        <f t="shared" ref="V10:V14" si="13">U10*SUM(T10,Q10,O10,L10,K10,S10)</f>
        <v>25408.094249999998</v>
      </c>
    </row>
    <row r="11" spans="1:22" hidden="1" x14ac:dyDescent="0.25">
      <c r="A11" s="108"/>
      <c r="B11" s="108"/>
      <c r="C11" s="108"/>
      <c r="D11" s="153"/>
      <c r="E11" s="153"/>
      <c r="F11" s="153"/>
      <c r="G11" s="153"/>
      <c r="H11" s="153"/>
      <c r="I11" s="241" t="s">
        <v>115</v>
      </c>
      <c r="J11" s="242"/>
      <c r="K11" s="112">
        <v>7705.7099999999991</v>
      </c>
      <c r="L11" s="112"/>
      <c r="M11" s="112"/>
      <c r="N11" s="112"/>
      <c r="O11" s="112"/>
      <c r="P11" s="112">
        <f t="shared" si="3"/>
        <v>654.98534999999993</v>
      </c>
      <c r="Q11" s="112">
        <f t="shared" si="4"/>
        <v>1989.8454932999994</v>
      </c>
      <c r="R11" s="112">
        <f>SUM(K11,L11,O28)*0.8*0.036</f>
        <v>221.92444799999996</v>
      </c>
      <c r="S11" s="112">
        <f t="shared" si="12"/>
        <v>376.03864799999997</v>
      </c>
      <c r="T11" s="112">
        <f t="shared" si="7"/>
        <v>246.58271999999999</v>
      </c>
      <c r="U11" s="112">
        <v>1</v>
      </c>
      <c r="V11" s="112">
        <f t="shared" si="13"/>
        <v>10318.176861299999</v>
      </c>
    </row>
    <row r="12" spans="1:22" hidden="1" x14ac:dyDescent="0.25">
      <c r="A12" s="108"/>
      <c r="B12" s="108"/>
      <c r="C12" s="108"/>
      <c r="D12" s="153"/>
      <c r="E12" s="153"/>
      <c r="F12" s="153"/>
      <c r="G12" s="153"/>
      <c r="H12" s="153"/>
      <c r="I12" s="241" t="s">
        <v>116</v>
      </c>
      <c r="J12" s="242"/>
      <c r="K12" s="112">
        <v>3400</v>
      </c>
      <c r="L12" s="112"/>
      <c r="M12" s="112"/>
      <c r="N12" s="112"/>
      <c r="O12" s="112"/>
      <c r="P12" s="112"/>
      <c r="Q12" s="112"/>
      <c r="R12" s="112"/>
      <c r="S12" s="112"/>
      <c r="T12" s="112"/>
      <c r="U12" s="112">
        <v>1</v>
      </c>
      <c r="V12" s="112">
        <f t="shared" si="13"/>
        <v>3400</v>
      </c>
    </row>
    <row r="13" spans="1:22" hidden="1" x14ac:dyDescent="0.25">
      <c r="A13" s="108"/>
      <c r="B13" s="108"/>
      <c r="C13" s="108"/>
      <c r="D13" s="153"/>
      <c r="E13" s="153"/>
      <c r="F13" s="153"/>
      <c r="G13" s="153"/>
      <c r="H13" s="153"/>
      <c r="I13" s="241" t="s">
        <v>117</v>
      </c>
      <c r="J13" s="24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>
        <f t="shared" si="13"/>
        <v>0</v>
      </c>
    </row>
    <row r="14" spans="1:22" hidden="1" x14ac:dyDescent="0.25">
      <c r="A14" s="108"/>
      <c r="B14" s="108"/>
      <c r="C14" s="108"/>
      <c r="D14" s="153"/>
      <c r="E14" s="153"/>
      <c r="F14" s="153"/>
      <c r="G14" s="153"/>
      <c r="H14" s="153"/>
      <c r="I14" s="241" t="s">
        <v>118</v>
      </c>
      <c r="J14" s="243"/>
      <c r="K14" s="24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>
        <f t="shared" si="13"/>
        <v>0</v>
      </c>
    </row>
    <row r="15" spans="1:22" hidden="1" x14ac:dyDescent="0.25">
      <c r="A15" s="102"/>
      <c r="B15" s="102"/>
      <c r="C15" s="102"/>
      <c r="D15" s="102"/>
      <c r="E15" s="102"/>
      <c r="F15" s="102"/>
      <c r="G15" s="102"/>
      <c r="H15" s="102"/>
      <c r="I15" s="102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>
        <f>SUM(V2:V14)</f>
        <v>237868.12903583574</v>
      </c>
    </row>
    <row r="16" spans="1:22" x14ac:dyDescent="0.25">
      <c r="R16" s="115"/>
      <c r="U16" s="116"/>
      <c r="V16" s="117">
        <f>+V15-265841.44</f>
        <v>-27973.310964164266</v>
      </c>
    </row>
  </sheetData>
  <mergeCells count="5">
    <mergeCell ref="I10:J10"/>
    <mergeCell ref="I11:J11"/>
    <mergeCell ref="I12:J12"/>
    <mergeCell ref="I13:J13"/>
    <mergeCell ref="I14:K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E88B-7780-467A-9F2E-23C474C678B8}">
  <dimension ref="A2:P35"/>
  <sheetViews>
    <sheetView tabSelected="1" workbookViewId="0">
      <selection activeCell="M10" sqref="M10"/>
    </sheetView>
  </sheetViews>
  <sheetFormatPr defaultRowHeight="15" x14ac:dyDescent="0.25"/>
  <cols>
    <col min="1" max="1" width="23.140625" customWidth="1"/>
    <col min="2" max="2" width="38.85546875" customWidth="1"/>
    <col min="3" max="3" width="54" customWidth="1"/>
    <col min="4" max="4" width="14.28515625" customWidth="1"/>
    <col min="5" max="5" width="11.42578125" customWidth="1"/>
    <col min="6" max="6" width="27.28515625" customWidth="1"/>
    <col min="7" max="8" width="14.28515625" customWidth="1"/>
    <col min="9" max="9" width="12.28515625" customWidth="1"/>
    <col min="10" max="10" width="11.85546875" customWidth="1"/>
    <col min="11" max="11" width="10.85546875" customWidth="1"/>
    <col min="12" max="12" width="11.42578125" customWidth="1"/>
    <col min="13" max="13" width="10.85546875" customWidth="1"/>
    <col min="14" max="14" width="11.42578125" customWidth="1"/>
    <col min="15" max="15" width="18.42578125" customWidth="1"/>
    <col min="16" max="16" width="19.140625" customWidth="1"/>
  </cols>
  <sheetData>
    <row r="2" spans="1:16" ht="66" customHeight="1" x14ac:dyDescent="0.25">
      <c r="A2" s="38" t="s">
        <v>184</v>
      </c>
      <c r="B2" s="35" t="s">
        <v>14</v>
      </c>
      <c r="C2" s="35" t="s">
        <v>188</v>
      </c>
      <c r="D2" s="36" t="s">
        <v>166</v>
      </c>
      <c r="E2" s="38" t="s">
        <v>3</v>
      </c>
      <c r="F2" s="38" t="s">
        <v>222</v>
      </c>
      <c r="G2" s="174" t="s">
        <v>174</v>
      </c>
      <c r="H2" s="174" t="s">
        <v>231</v>
      </c>
      <c r="I2" s="174" t="s">
        <v>169</v>
      </c>
      <c r="J2" s="35" t="s">
        <v>211</v>
      </c>
      <c r="K2" s="35" t="s">
        <v>212</v>
      </c>
      <c r="L2" s="35" t="s">
        <v>213</v>
      </c>
      <c r="M2" s="35" t="s">
        <v>214</v>
      </c>
      <c r="N2" s="174" t="s">
        <v>215</v>
      </c>
      <c r="O2" s="174" t="s">
        <v>216</v>
      </c>
      <c r="P2" s="174" t="s">
        <v>217</v>
      </c>
    </row>
    <row r="3" spans="1:16" x14ac:dyDescent="0.25">
      <c r="A3" s="201" t="s">
        <v>185</v>
      </c>
      <c r="B3" s="2" t="s">
        <v>157</v>
      </c>
      <c r="C3" s="2" t="s">
        <v>189</v>
      </c>
      <c r="D3" s="2" t="s">
        <v>140</v>
      </c>
      <c r="E3" s="2">
        <v>36</v>
      </c>
      <c r="F3" s="2" t="s">
        <v>7</v>
      </c>
      <c r="G3" s="175">
        <v>25146.71</v>
      </c>
      <c r="H3" s="175">
        <v>674.7</v>
      </c>
      <c r="I3" s="2"/>
      <c r="J3" s="173">
        <f>(+G3++H3+I3)*8.5/100</f>
        <v>2194.8198499999999</v>
      </c>
      <c r="K3" s="173">
        <f>(+G3+H3+I3)*23.8/100</f>
        <v>6145.4955799999998</v>
      </c>
      <c r="L3" s="176">
        <f>(+G3+H3+I3)*2.88/100</f>
        <v>743.65660800000001</v>
      </c>
      <c r="M3" s="176">
        <f>((+G3+H3+I3)*4.75)/1000+((1%*(+G3+H3+I3)*4.75)/1000)</f>
        <v>123.87821447499999</v>
      </c>
      <c r="N3" s="2">
        <v>1</v>
      </c>
      <c r="O3" s="173">
        <f>+G3+H3+I3+K3+L3+M3</f>
        <v>32834.440402474997</v>
      </c>
      <c r="P3" s="173">
        <f>+G3+H3+I3+J3+K3+L3+M3</f>
        <v>35029.260252474996</v>
      </c>
    </row>
    <row r="4" spans="1:16" x14ac:dyDescent="0.25">
      <c r="A4" s="201"/>
      <c r="B4" s="2" t="s">
        <v>191</v>
      </c>
      <c r="C4" s="2" t="s">
        <v>153</v>
      </c>
      <c r="D4" s="2" t="s">
        <v>140</v>
      </c>
      <c r="E4" s="2">
        <v>36</v>
      </c>
      <c r="F4" s="2" t="s">
        <v>6</v>
      </c>
      <c r="G4" s="175">
        <v>23175.71</v>
      </c>
      <c r="H4" s="175">
        <v>595.4</v>
      </c>
      <c r="I4" s="2"/>
      <c r="J4" s="173">
        <f t="shared" ref="J4:J12" si="0">(+G4++H4+I4)*8.5/100</f>
        <v>2020.5443499999999</v>
      </c>
      <c r="K4" s="173">
        <f t="shared" ref="K4:K12" si="1">(+G4+H4+I4)*23.8/100</f>
        <v>5657.5241800000003</v>
      </c>
      <c r="L4" s="176">
        <f t="shared" ref="L4:L11" si="2">(+G4+H4+I4)*2.88/100</f>
        <v>684.60796799999991</v>
      </c>
      <c r="M4" s="176">
        <f t="shared" ref="M4:M11" si="3">((+G4+H4+I4)*4.75)/1000+((1%*(+G4+H4+I4)*4.75)/1000)</f>
        <v>114.04190022500001</v>
      </c>
      <c r="N4" s="2">
        <v>1</v>
      </c>
      <c r="O4" s="173">
        <f t="shared" ref="O4:O13" si="4">+G4+H4+I4+K4+L4+M4</f>
        <v>30227.284048224999</v>
      </c>
      <c r="P4" s="173">
        <f t="shared" ref="P4:P11" si="5">+G4+H4+I4+J4+K4+L4+M4</f>
        <v>32247.828398225</v>
      </c>
    </row>
    <row r="5" spans="1:16" x14ac:dyDescent="0.25">
      <c r="A5" s="201" t="s">
        <v>186</v>
      </c>
      <c r="B5" s="2" t="s">
        <v>154</v>
      </c>
      <c r="C5" s="2" t="s">
        <v>189</v>
      </c>
      <c r="D5" s="2" t="s">
        <v>140</v>
      </c>
      <c r="E5" s="2">
        <v>36</v>
      </c>
      <c r="F5" s="2" t="s">
        <v>7</v>
      </c>
      <c r="G5" s="175">
        <v>25146.71</v>
      </c>
      <c r="H5" s="175">
        <v>674.7</v>
      </c>
      <c r="I5" s="173">
        <v>1600</v>
      </c>
      <c r="J5" s="173">
        <f t="shared" si="0"/>
        <v>2330.8198499999999</v>
      </c>
      <c r="K5" s="173">
        <f t="shared" si="1"/>
        <v>6526.29558</v>
      </c>
      <c r="L5" s="176">
        <f t="shared" si="2"/>
        <v>789.73660799999993</v>
      </c>
      <c r="M5" s="176">
        <f t="shared" si="3"/>
        <v>131.55421447500001</v>
      </c>
      <c r="N5" s="2">
        <v>1</v>
      </c>
      <c r="O5" s="173">
        <f t="shared" si="4"/>
        <v>34868.996402475001</v>
      </c>
      <c r="P5" s="173">
        <f t="shared" si="5"/>
        <v>37199.816252475001</v>
      </c>
    </row>
    <row r="6" spans="1:16" x14ac:dyDescent="0.25">
      <c r="A6" s="201"/>
      <c r="B6" s="2" t="s">
        <v>158</v>
      </c>
      <c r="C6" s="2" t="s">
        <v>153</v>
      </c>
      <c r="D6" s="2" t="s">
        <v>140</v>
      </c>
      <c r="E6" s="2">
        <v>36</v>
      </c>
      <c r="F6" s="2" t="s">
        <v>6</v>
      </c>
      <c r="G6" s="175">
        <v>23175.61</v>
      </c>
      <c r="H6" s="175">
        <v>595.4</v>
      </c>
      <c r="I6" s="2"/>
      <c r="J6" s="173">
        <f t="shared" si="0"/>
        <v>2020.5358500000002</v>
      </c>
      <c r="K6" s="173">
        <f t="shared" si="1"/>
        <v>5657.5003800000004</v>
      </c>
      <c r="L6" s="176">
        <f t="shared" si="2"/>
        <v>684.60508800000014</v>
      </c>
      <c r="M6" s="176">
        <f t="shared" si="3"/>
        <v>114.04142047500001</v>
      </c>
      <c r="N6" s="2">
        <v>1</v>
      </c>
      <c r="O6" s="173">
        <f t="shared" si="4"/>
        <v>30227.156888475005</v>
      </c>
      <c r="P6" s="173">
        <f t="shared" si="5"/>
        <v>32247.692738475005</v>
      </c>
    </row>
    <row r="7" spans="1:16" x14ac:dyDescent="0.25">
      <c r="A7" s="201"/>
      <c r="B7" s="2" t="s">
        <v>155</v>
      </c>
      <c r="C7" s="2" t="s">
        <v>189</v>
      </c>
      <c r="D7" s="2" t="s">
        <v>140</v>
      </c>
      <c r="E7" s="2">
        <v>36</v>
      </c>
      <c r="F7" s="2" t="s">
        <v>7</v>
      </c>
      <c r="G7" s="175">
        <v>25146.71</v>
      </c>
      <c r="H7" s="175">
        <v>674.7</v>
      </c>
      <c r="I7" s="2"/>
      <c r="J7" s="173">
        <f t="shared" si="0"/>
        <v>2194.8198499999999</v>
      </c>
      <c r="K7" s="173">
        <f t="shared" si="1"/>
        <v>6145.4955799999998</v>
      </c>
      <c r="L7" s="176">
        <f t="shared" si="2"/>
        <v>743.65660800000001</v>
      </c>
      <c r="M7" s="176">
        <f t="shared" si="3"/>
        <v>123.87821447499999</v>
      </c>
      <c r="N7" s="2">
        <v>1</v>
      </c>
      <c r="O7" s="173">
        <f t="shared" si="4"/>
        <v>32834.440402474997</v>
      </c>
      <c r="P7" s="173">
        <f t="shared" si="5"/>
        <v>35029.260252474996</v>
      </c>
    </row>
    <row r="8" spans="1:16" x14ac:dyDescent="0.25">
      <c r="A8" s="201" t="s">
        <v>187</v>
      </c>
      <c r="B8" s="2" t="s">
        <v>197</v>
      </c>
      <c r="C8" s="2" t="s">
        <v>189</v>
      </c>
      <c r="D8" s="2" t="s">
        <v>140</v>
      </c>
      <c r="E8" s="2">
        <v>36</v>
      </c>
      <c r="F8" s="2" t="s">
        <v>7</v>
      </c>
      <c r="G8" s="175">
        <v>25146.71</v>
      </c>
      <c r="H8" s="175">
        <v>674.7</v>
      </c>
      <c r="I8" s="173">
        <v>1600</v>
      </c>
      <c r="J8" s="173">
        <f t="shared" si="0"/>
        <v>2330.8198499999999</v>
      </c>
      <c r="K8" s="173">
        <f t="shared" si="1"/>
        <v>6526.29558</v>
      </c>
      <c r="L8" s="176">
        <f t="shared" si="2"/>
        <v>789.73660799999993</v>
      </c>
      <c r="M8" s="176">
        <f t="shared" si="3"/>
        <v>131.55421447500001</v>
      </c>
      <c r="N8" s="2">
        <v>1</v>
      </c>
      <c r="O8" s="173">
        <f t="shared" si="4"/>
        <v>34868.996402475001</v>
      </c>
      <c r="P8" s="173">
        <f t="shared" si="5"/>
        <v>37199.816252475001</v>
      </c>
    </row>
    <row r="9" spans="1:16" x14ac:dyDescent="0.25">
      <c r="A9" s="201"/>
      <c r="B9" s="2" t="s">
        <v>198</v>
      </c>
      <c r="C9" s="2" t="s">
        <v>162</v>
      </c>
      <c r="D9" s="2" t="s">
        <v>140</v>
      </c>
      <c r="E9" s="2">
        <v>36</v>
      </c>
      <c r="F9" s="2" t="s">
        <v>149</v>
      </c>
      <c r="G9" s="175">
        <v>20620.72</v>
      </c>
      <c r="H9" s="175">
        <v>511.03</v>
      </c>
      <c r="I9" s="2"/>
      <c r="J9" s="173">
        <f t="shared" si="0"/>
        <v>1796.19875</v>
      </c>
      <c r="K9" s="173">
        <f t="shared" si="1"/>
        <v>5029.3564999999999</v>
      </c>
      <c r="L9" s="176">
        <f t="shared" si="2"/>
        <v>608.59439999999995</v>
      </c>
      <c r="M9" s="176">
        <f t="shared" si="3"/>
        <v>101.379570625</v>
      </c>
      <c r="N9" s="2">
        <v>1</v>
      </c>
      <c r="O9" s="173">
        <f t="shared" si="4"/>
        <v>26871.080470625002</v>
      </c>
      <c r="P9" s="173">
        <f t="shared" si="5"/>
        <v>28667.279220624998</v>
      </c>
    </row>
    <row r="10" spans="1:16" ht="30" customHeight="1" x14ac:dyDescent="0.25">
      <c r="D10" s="167"/>
      <c r="F10" s="36" t="s">
        <v>144</v>
      </c>
      <c r="G10" s="173">
        <v>33902.39</v>
      </c>
      <c r="H10" s="173"/>
      <c r="I10" s="2"/>
      <c r="J10" s="173">
        <f t="shared" si="0"/>
        <v>2881.7031499999998</v>
      </c>
      <c r="K10" s="173">
        <f t="shared" si="1"/>
        <v>8068.7688200000002</v>
      </c>
      <c r="L10" s="176">
        <f t="shared" si="2"/>
        <v>976.38883199999998</v>
      </c>
      <c r="M10" s="176"/>
      <c r="N10" s="2">
        <v>1</v>
      </c>
      <c r="O10" s="173">
        <f t="shared" si="4"/>
        <v>42947.547651999994</v>
      </c>
      <c r="P10" s="173">
        <f t="shared" si="5"/>
        <v>45829.250801999995</v>
      </c>
    </row>
    <row r="11" spans="1:16" ht="28.5" customHeight="1" x14ac:dyDescent="0.25">
      <c r="F11" s="174" t="s">
        <v>145</v>
      </c>
      <c r="G11" s="173">
        <v>18975</v>
      </c>
      <c r="H11" s="173"/>
      <c r="I11" s="2"/>
      <c r="J11" s="173">
        <f t="shared" si="0"/>
        <v>1612.875</v>
      </c>
      <c r="K11" s="173">
        <f t="shared" si="1"/>
        <v>4516.05</v>
      </c>
      <c r="L11" s="176">
        <f t="shared" si="2"/>
        <v>546.48</v>
      </c>
      <c r="M11" s="176">
        <f t="shared" si="3"/>
        <v>91.032562499999997</v>
      </c>
      <c r="N11" s="2">
        <v>1</v>
      </c>
      <c r="O11" s="173">
        <f t="shared" si="4"/>
        <v>24128.562562499999</v>
      </c>
      <c r="P11" s="173">
        <f t="shared" si="5"/>
        <v>25741.437562499999</v>
      </c>
    </row>
    <row r="12" spans="1:16" ht="29.45" customHeight="1" x14ac:dyDescent="0.25">
      <c r="F12" s="174" t="s">
        <v>146</v>
      </c>
      <c r="G12" s="173">
        <v>10569.14</v>
      </c>
      <c r="H12" s="173"/>
      <c r="I12" s="2"/>
      <c r="J12" s="173">
        <f t="shared" si="0"/>
        <v>898.37689999999998</v>
      </c>
      <c r="K12" s="173">
        <f t="shared" si="1"/>
        <v>2515.45532</v>
      </c>
      <c r="L12" s="194"/>
      <c r="M12" s="194"/>
      <c r="N12" s="2">
        <v>1</v>
      </c>
      <c r="O12" s="173">
        <f t="shared" si="4"/>
        <v>13084.59532</v>
      </c>
      <c r="P12" s="173">
        <f>+G12+H12+I12+J12+K12+L12+M12</f>
        <v>13982.97222</v>
      </c>
    </row>
    <row r="13" spans="1:16" ht="29.1" customHeight="1" x14ac:dyDescent="0.25">
      <c r="F13" s="38" t="s">
        <v>66</v>
      </c>
      <c r="G13" s="173">
        <v>3000</v>
      </c>
      <c r="H13" s="173"/>
      <c r="I13" s="177"/>
      <c r="J13" s="173"/>
      <c r="K13" s="173"/>
      <c r="L13" s="176"/>
      <c r="M13" s="176"/>
      <c r="N13" s="2"/>
      <c r="O13" s="173">
        <f t="shared" si="4"/>
        <v>3000</v>
      </c>
      <c r="P13" s="173">
        <f>+G13+H13+I13+J13+K13+L13+M13</f>
        <v>3000</v>
      </c>
    </row>
    <row r="14" spans="1:16" x14ac:dyDescent="0.25">
      <c r="F14" s="177"/>
      <c r="G14" s="177"/>
      <c r="H14" s="177"/>
      <c r="I14" s="177"/>
      <c r="J14" s="177"/>
      <c r="K14" s="177"/>
      <c r="L14" s="177"/>
      <c r="M14" s="177"/>
      <c r="N14" s="177"/>
      <c r="O14" s="2"/>
      <c r="P14" s="2"/>
    </row>
    <row r="15" spans="1:16" x14ac:dyDescent="0.25">
      <c r="F15" s="177"/>
      <c r="G15" s="177"/>
      <c r="H15" s="177"/>
      <c r="I15" s="177"/>
      <c r="J15" s="177"/>
      <c r="K15" s="177"/>
      <c r="L15" s="177"/>
      <c r="M15" s="177"/>
      <c r="N15" s="177"/>
      <c r="O15" s="2"/>
      <c r="P15" s="2"/>
    </row>
    <row r="16" spans="1:16" x14ac:dyDescent="0.25">
      <c r="F16" s="177"/>
      <c r="G16" s="177"/>
      <c r="H16" s="177"/>
      <c r="I16" s="177"/>
      <c r="J16" s="177"/>
      <c r="K16" s="177"/>
      <c r="L16" s="177"/>
      <c r="M16" s="177"/>
      <c r="N16" s="2" t="s">
        <v>16</v>
      </c>
      <c r="O16" s="173">
        <f>SUM(O3:O13)</f>
        <v>305893.10055172502</v>
      </c>
      <c r="P16" s="173">
        <f>SUM(P3:P13)</f>
        <v>326174.61395172495</v>
      </c>
    </row>
    <row r="18" spans="1:16" x14ac:dyDescent="0.25">
      <c r="J18" s="199" t="s">
        <v>137</v>
      </c>
      <c r="K18" s="199"/>
      <c r="L18" s="199"/>
      <c r="M18" s="199"/>
      <c r="N18" s="199"/>
      <c r="O18" s="35" t="s">
        <v>136</v>
      </c>
    </row>
    <row r="19" spans="1:16" x14ac:dyDescent="0.25">
      <c r="J19" s="200" t="s">
        <v>147</v>
      </c>
      <c r="K19" s="200"/>
      <c r="L19" s="200"/>
      <c r="M19" s="200"/>
      <c r="N19" s="200"/>
      <c r="O19" s="173">
        <v>486527.11</v>
      </c>
    </row>
    <row r="20" spans="1:16" x14ac:dyDescent="0.25">
      <c r="J20" s="200" t="s">
        <v>218</v>
      </c>
      <c r="K20" s="200"/>
      <c r="L20" s="200"/>
      <c r="M20" s="200"/>
      <c r="N20" s="200"/>
      <c r="O20" s="173">
        <f>O16</f>
        <v>305893.10055172502</v>
      </c>
    </row>
    <row r="21" spans="1:16" x14ac:dyDescent="0.25">
      <c r="J21" s="200" t="s">
        <v>204</v>
      </c>
      <c r="K21" s="200"/>
      <c r="L21" s="200"/>
      <c r="M21" s="200"/>
      <c r="N21" s="200"/>
      <c r="O21" s="173">
        <v>10000</v>
      </c>
    </row>
    <row r="22" spans="1:16" x14ac:dyDescent="0.25">
      <c r="J22" s="200" t="s">
        <v>151</v>
      </c>
      <c r="K22" s="200"/>
      <c r="L22" s="200"/>
      <c r="M22" s="200"/>
      <c r="N22" s="200"/>
      <c r="O22" s="173">
        <f>O19-O20-O21</f>
        <v>170634.00944827497</v>
      </c>
    </row>
    <row r="25" spans="1:16" ht="75" x14ac:dyDescent="0.25">
      <c r="A25" s="38" t="s">
        <v>184</v>
      </c>
      <c r="B25" s="174" t="s">
        <v>220</v>
      </c>
      <c r="C25" s="38" t="s">
        <v>219</v>
      </c>
      <c r="D25" s="38" t="s">
        <v>200</v>
      </c>
      <c r="E25" s="38" t="s">
        <v>3</v>
      </c>
      <c r="F25" s="174" t="s">
        <v>11</v>
      </c>
      <c r="G25" s="174" t="s">
        <v>174</v>
      </c>
      <c r="H25" s="174" t="s">
        <v>231</v>
      </c>
      <c r="I25" s="174" t="s">
        <v>169</v>
      </c>
      <c r="J25" s="38" t="s">
        <v>211</v>
      </c>
      <c r="K25" s="38" t="s">
        <v>212</v>
      </c>
      <c r="L25" s="38" t="s">
        <v>213</v>
      </c>
      <c r="M25" s="38" t="s">
        <v>214</v>
      </c>
      <c r="N25" s="174" t="s">
        <v>12</v>
      </c>
      <c r="O25" s="174" t="s">
        <v>216</v>
      </c>
      <c r="P25" s="174" t="s">
        <v>217</v>
      </c>
    </row>
    <row r="26" spans="1:16" ht="71.45" customHeight="1" x14ac:dyDescent="0.25">
      <c r="A26" s="38" t="s">
        <v>186</v>
      </c>
      <c r="B26" s="180" t="s">
        <v>195</v>
      </c>
      <c r="C26" s="180" t="s">
        <v>199</v>
      </c>
      <c r="D26" s="178" t="s">
        <v>221</v>
      </c>
      <c r="E26" s="179">
        <v>10</v>
      </c>
      <c r="F26" s="179" t="s">
        <v>7</v>
      </c>
      <c r="G26" s="172">
        <v>25146.71</v>
      </c>
      <c r="H26" s="172">
        <v>674.7</v>
      </c>
      <c r="I26" s="176"/>
      <c r="J26" s="173">
        <f>(+G26+H26+I26)*8.5/100</f>
        <v>2194.8198499999999</v>
      </c>
      <c r="K26" s="173">
        <f>(+G26+H26+I26)*23.8/100</f>
        <v>6145.4955799999998</v>
      </c>
      <c r="L26" s="176">
        <f>(+G26+H26+I26)*2.88/100</f>
        <v>743.65660800000001</v>
      </c>
      <c r="M26" s="176">
        <f>((+G26+H26+I26)*4.75)/1000+(1%*(+G26+H26+I26)*4.75)/1000</f>
        <v>123.87821447499999</v>
      </c>
      <c r="N26" s="2" t="s">
        <v>223</v>
      </c>
      <c r="O26" s="173">
        <f>((+G26+H26+I26+K26+L26+M26)/12)*7.5*27.77/100</f>
        <v>5698.8275623545669</v>
      </c>
      <c r="P26" s="173">
        <f>((+G26+H26+I26+J26+K26+L26+M26)/12)*7.5*27.77/100</f>
        <v>6079.7659825701903</v>
      </c>
    </row>
    <row r="27" spans="1:16" ht="71.45" customHeight="1" x14ac:dyDescent="0.25">
      <c r="A27" s="38" t="s">
        <v>186</v>
      </c>
      <c r="B27" s="180" t="s">
        <v>195</v>
      </c>
      <c r="C27" s="180" t="s">
        <v>224</v>
      </c>
      <c r="D27" s="178" t="s">
        <v>225</v>
      </c>
      <c r="E27" s="179">
        <v>10</v>
      </c>
      <c r="F27" s="179" t="s">
        <v>7</v>
      </c>
      <c r="G27" s="172">
        <v>25146.71</v>
      </c>
      <c r="H27" s="172">
        <v>674.7</v>
      </c>
      <c r="I27" s="176"/>
      <c r="J27" s="173">
        <f>(+G27+H27+I27)*8.5/100</f>
        <v>2194.8198499999999</v>
      </c>
      <c r="K27" s="173">
        <f>(+G27+H27+I27)*23.8/100</f>
        <v>6145.4955799999998</v>
      </c>
      <c r="L27" s="176">
        <f>(+G27+H27+I27)*2.88/100</f>
        <v>743.65660800000001</v>
      </c>
      <c r="M27" s="176">
        <f>((+G27+H27+I27)*4.75)/1000+(1%*(+G27+H27+I27)*4.75)/1000</f>
        <v>123.87821447499999</v>
      </c>
      <c r="N27" s="2" t="s">
        <v>226</v>
      </c>
      <c r="O27" s="173">
        <f>((+G27+H27+I27+K27+L27+M27)/12)*1*27.77/100</f>
        <v>759.84367498060897</v>
      </c>
      <c r="P27" s="173">
        <f>((+G27+H27+I27+J27+K27+L27+M27)/12)*1*27.77/100</f>
        <v>810.6354643426921</v>
      </c>
    </row>
    <row r="28" spans="1:16" x14ac:dyDescent="0.25">
      <c r="N28" s="167" t="s">
        <v>16</v>
      </c>
      <c r="O28" s="91">
        <f>SUM(O26+O27)</f>
        <v>6458.6712373351756</v>
      </c>
      <c r="P28" s="91">
        <f>SUM(P26+P27)</f>
        <v>6890.4014469128824</v>
      </c>
    </row>
    <row r="31" spans="1:16" x14ac:dyDescent="0.25">
      <c r="J31" s="200" t="s">
        <v>138</v>
      </c>
      <c r="K31" s="200"/>
      <c r="L31" s="200"/>
      <c r="M31" s="200"/>
      <c r="N31" s="200"/>
      <c r="O31" s="2" t="s">
        <v>136</v>
      </c>
    </row>
    <row r="32" spans="1:16" x14ac:dyDescent="0.25">
      <c r="J32" s="200" t="s">
        <v>148</v>
      </c>
      <c r="K32" s="200"/>
      <c r="L32" s="200"/>
      <c r="M32" s="200"/>
      <c r="N32" s="200"/>
      <c r="O32" s="173">
        <v>33000</v>
      </c>
    </row>
    <row r="33" spans="10:15" x14ac:dyDescent="0.25">
      <c r="J33" s="200" t="s">
        <v>218</v>
      </c>
      <c r="K33" s="200"/>
      <c r="L33" s="200"/>
      <c r="M33" s="200"/>
      <c r="N33" s="200"/>
      <c r="O33" s="173">
        <f>O28</f>
        <v>6458.6712373351756</v>
      </c>
    </row>
    <row r="34" spans="10:15" x14ac:dyDescent="0.25">
      <c r="J34" s="200" t="s">
        <v>205</v>
      </c>
      <c r="K34" s="200"/>
      <c r="L34" s="200"/>
      <c r="M34" s="200"/>
      <c r="N34" s="200"/>
      <c r="O34" s="173">
        <v>7000</v>
      </c>
    </row>
    <row r="35" spans="10:15" x14ac:dyDescent="0.25">
      <c r="J35" s="200" t="s">
        <v>151</v>
      </c>
      <c r="K35" s="200"/>
      <c r="L35" s="200"/>
      <c r="M35" s="200"/>
      <c r="N35" s="200"/>
      <c r="O35" s="173">
        <f>O32-O33-O34</f>
        <v>19541.328762664823</v>
      </c>
    </row>
  </sheetData>
  <mergeCells count="13">
    <mergeCell ref="J35:N35"/>
    <mergeCell ref="J21:N21"/>
    <mergeCell ref="J20:N20"/>
    <mergeCell ref="J19:N19"/>
    <mergeCell ref="J22:N22"/>
    <mergeCell ref="J32:N32"/>
    <mergeCell ref="J33:N33"/>
    <mergeCell ref="J34:N34"/>
    <mergeCell ref="J18:N18"/>
    <mergeCell ref="J31:N31"/>
    <mergeCell ref="A3:A4"/>
    <mergeCell ref="A5:A7"/>
    <mergeCell ref="A8:A9"/>
  </mergeCells>
  <phoneticPr fontId="23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7"/>
  <sheetViews>
    <sheetView workbookViewId="0">
      <selection activeCell="Q30" sqref="Q30"/>
    </sheetView>
  </sheetViews>
  <sheetFormatPr defaultColWidth="8.85546875" defaultRowHeight="15" x14ac:dyDescent="0.25"/>
  <cols>
    <col min="1" max="1" width="21.28515625" style="3" customWidth="1"/>
    <col min="2" max="2" width="39.42578125" style="3" customWidth="1"/>
    <col min="3" max="3" width="49.7109375" style="3" bestFit="1" customWidth="1"/>
    <col min="4" max="4" width="14.5703125" style="3" customWidth="1"/>
    <col min="5" max="5" width="12.7109375" style="3" customWidth="1"/>
    <col min="6" max="6" width="22" style="3" customWidth="1"/>
    <col min="7" max="10" width="14.140625" style="3" customWidth="1"/>
    <col min="11" max="11" width="10.42578125" style="3" customWidth="1"/>
    <col min="12" max="12" width="11.28515625" style="3" customWidth="1"/>
    <col min="13" max="13" width="11" style="3" customWidth="1"/>
    <col min="14" max="14" width="10.42578125" style="3" customWidth="1"/>
    <col min="15" max="15" width="18.85546875" style="3" bestFit="1" customWidth="1"/>
    <col min="16" max="16" width="21.85546875" style="3" customWidth="1"/>
    <col min="17" max="17" width="19.85546875" style="6" customWidth="1"/>
    <col min="18" max="18" width="10" style="3" bestFit="1" customWidth="1"/>
    <col min="19" max="19" width="4.7109375" style="3" customWidth="1"/>
    <col min="20" max="20" width="8.85546875" style="3"/>
    <col min="21" max="23" width="10.140625" style="3" bestFit="1" customWidth="1"/>
    <col min="24" max="16384" width="8.85546875" style="3"/>
  </cols>
  <sheetData>
    <row r="1" spans="1:23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23" s="48" customFormat="1" ht="56.25" x14ac:dyDescent="0.25">
      <c r="A2" s="45" t="s">
        <v>184</v>
      </c>
      <c r="B2" s="45" t="s">
        <v>14</v>
      </c>
      <c r="C2" s="45" t="s">
        <v>188</v>
      </c>
      <c r="D2" s="152" t="s">
        <v>166</v>
      </c>
      <c r="E2" s="45" t="s">
        <v>3</v>
      </c>
      <c r="F2" s="46" t="s">
        <v>11</v>
      </c>
      <c r="G2" s="46" t="s">
        <v>174</v>
      </c>
      <c r="H2" s="46" t="s">
        <v>231</v>
      </c>
      <c r="I2" s="46" t="s">
        <v>175</v>
      </c>
      <c r="J2" s="46" t="s">
        <v>169</v>
      </c>
      <c r="K2" s="47" t="s">
        <v>0</v>
      </c>
      <c r="L2" s="47" t="s">
        <v>192</v>
      </c>
      <c r="M2" s="47" t="s">
        <v>193</v>
      </c>
      <c r="N2" s="47" t="s">
        <v>194</v>
      </c>
      <c r="O2" s="47" t="s">
        <v>12</v>
      </c>
      <c r="P2" s="72" t="s">
        <v>176</v>
      </c>
      <c r="Q2" s="72" t="s">
        <v>177</v>
      </c>
    </row>
    <row r="3" spans="1:23" s="56" customFormat="1" ht="18.75" customHeight="1" x14ac:dyDescent="0.25">
      <c r="A3" s="247" t="s">
        <v>185</v>
      </c>
      <c r="B3" s="50" t="s">
        <v>157</v>
      </c>
      <c r="C3" s="50" t="s">
        <v>189</v>
      </c>
      <c r="D3" s="147" t="s">
        <v>140</v>
      </c>
      <c r="E3" s="50">
        <v>36</v>
      </c>
      <c r="F3" s="51" t="s">
        <v>7</v>
      </c>
      <c r="G3" s="52">
        <v>25146.712499999998</v>
      </c>
      <c r="H3" s="52">
        <v>674.7</v>
      </c>
      <c r="I3" s="52">
        <v>1176.94</v>
      </c>
      <c r="J3" s="52"/>
      <c r="K3" s="148">
        <f>+(G3+H3+I3+J3)*8.5/100</f>
        <v>2294.8599624999997</v>
      </c>
      <c r="L3" s="148">
        <f>+(G3+H3+I3+J3)*23.8/100</f>
        <v>6425.6078949999992</v>
      </c>
      <c r="M3" s="148">
        <f>+(G3+H3+I3+J3)*2.88/100</f>
        <v>777.55255199999988</v>
      </c>
      <c r="N3" s="149">
        <f>((+G3+H3+I3+J3)*4.75/1000)+(1%*((G3+H3+I3+J3)*4.75/1000))</f>
        <v>129.52459611875</v>
      </c>
      <c r="O3" s="145">
        <f t="shared" ref="O3:O9" si="0">+E3/36</f>
        <v>1</v>
      </c>
      <c r="P3" s="145">
        <f>+(G3+H3+I3+J3+L3+M3+N3)*O3</f>
        <v>34331.037543118742</v>
      </c>
      <c r="Q3" s="145">
        <f>+(G3+H3+I3+J3+K3+L3+M3+N3)*O3</f>
        <v>36625.897505618741</v>
      </c>
    </row>
    <row r="4" spans="1:23" s="56" customFormat="1" ht="18.75" customHeight="1" x14ac:dyDescent="0.25">
      <c r="A4" s="248"/>
      <c r="B4" s="50" t="s">
        <v>191</v>
      </c>
      <c r="C4" s="147" t="s">
        <v>153</v>
      </c>
      <c r="D4" s="147" t="s">
        <v>140</v>
      </c>
      <c r="E4" s="50">
        <v>36</v>
      </c>
      <c r="F4" s="51" t="s">
        <v>6</v>
      </c>
      <c r="G4" s="52">
        <v>23175.609166666665</v>
      </c>
      <c r="H4" s="52">
        <v>595.4</v>
      </c>
      <c r="I4" s="52">
        <v>1084.68</v>
      </c>
      <c r="J4" s="52"/>
      <c r="K4" s="148">
        <f t="shared" ref="K4:K13" si="1">+(G4+H4+I4+J4)*8.5/100</f>
        <v>2112.7335791666665</v>
      </c>
      <c r="L4" s="148">
        <f t="shared" ref="L4:L13" si="2">+(G4+H4+I4+J4)*23.8/100</f>
        <v>5915.6540216666672</v>
      </c>
      <c r="M4" s="148">
        <f t="shared" ref="M4:M12" si="3">+(G4+H4+I4+J4)*2.88/100</f>
        <v>715.84384799999998</v>
      </c>
      <c r="N4" s="149">
        <f t="shared" ref="N4:N12" si="4">((+G4+H4+I4+J4)*4.75/1000)+(1%*((G4+H4+I4+J4)*4.75/1000))</f>
        <v>119.24516877708334</v>
      </c>
      <c r="O4" s="145">
        <f t="shared" si="0"/>
        <v>1</v>
      </c>
      <c r="P4" s="145">
        <f t="shared" ref="P4:P9" si="5">+(G4+H4+I4+J4+L4+M4+N4)*O4</f>
        <v>31606.432205110417</v>
      </c>
      <c r="Q4" s="145">
        <f t="shared" ref="Q4:Q9" si="6">+(G4+H4+I4+J4+K4+L4+M4+N4)*O4</f>
        <v>33719.16578427708</v>
      </c>
    </row>
    <row r="5" spans="1:23" s="56" customFormat="1" ht="18.75" customHeight="1" x14ac:dyDescent="0.25">
      <c r="A5" s="247" t="s">
        <v>186</v>
      </c>
      <c r="B5" s="50" t="s">
        <v>154</v>
      </c>
      <c r="C5" s="50" t="s">
        <v>189</v>
      </c>
      <c r="D5" s="147" t="s">
        <v>140</v>
      </c>
      <c r="E5" s="50">
        <v>36</v>
      </c>
      <c r="F5" s="51" t="s">
        <v>7</v>
      </c>
      <c r="G5" s="52">
        <v>25146.712499999998</v>
      </c>
      <c r="H5" s="52">
        <v>674.7</v>
      </c>
      <c r="I5" s="52">
        <v>1176.94</v>
      </c>
      <c r="J5" s="52">
        <v>1600</v>
      </c>
      <c r="K5" s="148">
        <f t="shared" si="1"/>
        <v>2430.8599624999997</v>
      </c>
      <c r="L5" s="148">
        <f t="shared" si="2"/>
        <v>6806.4078949999994</v>
      </c>
      <c r="M5" s="148">
        <f t="shared" si="3"/>
        <v>823.63255199999981</v>
      </c>
      <c r="N5" s="149">
        <f t="shared" si="4"/>
        <v>137.20059611874998</v>
      </c>
      <c r="O5" s="145">
        <f t="shared" si="0"/>
        <v>1</v>
      </c>
      <c r="P5" s="145">
        <f t="shared" si="5"/>
        <v>36365.593543118754</v>
      </c>
      <c r="Q5" s="145">
        <f t="shared" si="6"/>
        <v>38796.453505618752</v>
      </c>
    </row>
    <row r="6" spans="1:23" s="56" customFormat="1" ht="18.75" customHeight="1" x14ac:dyDescent="0.25">
      <c r="A6" s="249"/>
      <c r="B6" s="50" t="s">
        <v>158</v>
      </c>
      <c r="C6" s="50" t="s">
        <v>153</v>
      </c>
      <c r="D6" s="147" t="s">
        <v>140</v>
      </c>
      <c r="E6" s="50">
        <v>36</v>
      </c>
      <c r="F6" s="51" t="s">
        <v>6</v>
      </c>
      <c r="G6" s="52">
        <v>23175.609166666665</v>
      </c>
      <c r="H6" s="52">
        <v>595.4</v>
      </c>
      <c r="I6" s="52">
        <v>1084.68</v>
      </c>
      <c r="J6" s="52"/>
      <c r="K6" s="148">
        <f t="shared" si="1"/>
        <v>2112.7335791666665</v>
      </c>
      <c r="L6" s="148">
        <f t="shared" si="2"/>
        <v>5915.6540216666672</v>
      </c>
      <c r="M6" s="148">
        <f t="shared" si="3"/>
        <v>715.84384799999998</v>
      </c>
      <c r="N6" s="149">
        <f t="shared" si="4"/>
        <v>119.24516877708334</v>
      </c>
      <c r="O6" s="145">
        <f t="shared" si="0"/>
        <v>1</v>
      </c>
      <c r="P6" s="145">
        <f t="shared" si="5"/>
        <v>31606.432205110417</v>
      </c>
      <c r="Q6" s="145">
        <f t="shared" si="6"/>
        <v>33719.16578427708</v>
      </c>
    </row>
    <row r="7" spans="1:23" s="56" customFormat="1" ht="18.75" customHeight="1" x14ac:dyDescent="0.25">
      <c r="A7" s="248"/>
      <c r="B7" s="50" t="s">
        <v>155</v>
      </c>
      <c r="C7" s="147" t="s">
        <v>189</v>
      </c>
      <c r="D7" s="147" t="s">
        <v>140</v>
      </c>
      <c r="E7" s="50">
        <v>36</v>
      </c>
      <c r="F7" s="51" t="s">
        <v>7</v>
      </c>
      <c r="G7" s="52">
        <v>25146.712499999998</v>
      </c>
      <c r="H7" s="52">
        <v>674.7</v>
      </c>
      <c r="I7" s="52">
        <v>1176.94</v>
      </c>
      <c r="J7" s="52"/>
      <c r="K7" s="148">
        <f t="shared" si="1"/>
        <v>2294.8599624999997</v>
      </c>
      <c r="L7" s="148">
        <f t="shared" si="2"/>
        <v>6425.6078949999992</v>
      </c>
      <c r="M7" s="148">
        <f t="shared" si="3"/>
        <v>777.55255199999988</v>
      </c>
      <c r="N7" s="149">
        <f t="shared" si="4"/>
        <v>129.52459611875</v>
      </c>
      <c r="O7" s="145">
        <f t="shared" si="0"/>
        <v>1</v>
      </c>
      <c r="P7" s="145">
        <f t="shared" si="5"/>
        <v>34331.037543118742</v>
      </c>
      <c r="Q7" s="145">
        <f t="shared" si="6"/>
        <v>36625.897505618741</v>
      </c>
      <c r="W7" s="60"/>
    </row>
    <row r="8" spans="1:23" s="56" customFormat="1" ht="19.5" customHeight="1" x14ac:dyDescent="0.25">
      <c r="A8" s="247" t="s">
        <v>187</v>
      </c>
      <c r="B8" s="50" t="s">
        <v>197</v>
      </c>
      <c r="C8" s="147" t="s">
        <v>189</v>
      </c>
      <c r="D8" s="147" t="s">
        <v>140</v>
      </c>
      <c r="E8" s="50">
        <v>36</v>
      </c>
      <c r="F8" s="51" t="s">
        <v>7</v>
      </c>
      <c r="G8" s="52">
        <v>25146.712499999998</v>
      </c>
      <c r="H8" s="52">
        <v>674.7</v>
      </c>
      <c r="I8" s="52">
        <v>1176.94</v>
      </c>
      <c r="J8" s="52">
        <v>1600</v>
      </c>
      <c r="K8" s="148">
        <f t="shared" si="1"/>
        <v>2430.8599624999997</v>
      </c>
      <c r="L8" s="148">
        <f t="shared" si="2"/>
        <v>6806.4078949999994</v>
      </c>
      <c r="M8" s="148">
        <f t="shared" si="3"/>
        <v>823.63255199999981</v>
      </c>
      <c r="N8" s="149">
        <f t="shared" si="4"/>
        <v>137.20059611874998</v>
      </c>
      <c r="O8" s="145">
        <f t="shared" si="0"/>
        <v>1</v>
      </c>
      <c r="P8" s="145">
        <f t="shared" si="5"/>
        <v>36365.593543118754</v>
      </c>
      <c r="Q8" s="145">
        <f t="shared" si="6"/>
        <v>38796.453505618752</v>
      </c>
      <c r="W8" s="60"/>
    </row>
    <row r="9" spans="1:23" s="56" customFormat="1" ht="18.75" customHeight="1" x14ac:dyDescent="0.25">
      <c r="A9" s="248"/>
      <c r="B9" s="50" t="s">
        <v>198</v>
      </c>
      <c r="C9" s="50" t="s">
        <v>162</v>
      </c>
      <c r="D9" s="147" t="s">
        <v>140</v>
      </c>
      <c r="E9" s="50">
        <v>36</v>
      </c>
      <c r="F9" s="51" t="s">
        <v>149</v>
      </c>
      <c r="G9" s="52">
        <v>20620.719166666666</v>
      </c>
      <c r="H9" s="52">
        <v>511.03</v>
      </c>
      <c r="I9" s="52">
        <v>965.11</v>
      </c>
      <c r="J9" s="52"/>
      <c r="K9" s="148">
        <f t="shared" si="1"/>
        <v>1878.2330291666667</v>
      </c>
      <c r="L9" s="148">
        <f t="shared" si="2"/>
        <v>5259.0524816666657</v>
      </c>
      <c r="M9" s="148">
        <f t="shared" si="3"/>
        <v>636.389544</v>
      </c>
      <c r="N9" s="149">
        <f t="shared" si="4"/>
        <v>106.00968185208333</v>
      </c>
      <c r="O9" s="145">
        <f t="shared" si="0"/>
        <v>1</v>
      </c>
      <c r="P9" s="145">
        <f t="shared" si="5"/>
        <v>28098.310874185416</v>
      </c>
      <c r="Q9" s="145">
        <f t="shared" si="6"/>
        <v>29976.543903352082</v>
      </c>
    </row>
    <row r="10" spans="1:23" s="56" customFormat="1" ht="27" customHeight="1" x14ac:dyDescent="0.25">
      <c r="A10" s="252"/>
      <c r="B10" s="253"/>
      <c r="C10" s="253"/>
      <c r="D10" s="253"/>
      <c r="E10" s="254"/>
      <c r="F10" s="51"/>
      <c r="G10" s="52"/>
      <c r="H10" s="52"/>
      <c r="I10" s="52"/>
      <c r="J10" s="52"/>
      <c r="K10" s="148"/>
      <c r="L10" s="148"/>
      <c r="M10" s="148"/>
      <c r="N10" s="149"/>
      <c r="O10" s="145"/>
      <c r="P10" s="145"/>
      <c r="Q10" s="145"/>
    </row>
    <row r="11" spans="1:23" s="56" customFormat="1" ht="26.25" customHeight="1" x14ac:dyDescent="0.25">
      <c r="A11" s="252"/>
      <c r="B11" s="253"/>
      <c r="C11" s="253"/>
      <c r="D11" s="253"/>
      <c r="E11" s="254"/>
      <c r="F11" s="51" t="s">
        <v>144</v>
      </c>
      <c r="G11" s="52">
        <v>37700</v>
      </c>
      <c r="H11" s="52"/>
      <c r="I11" s="52"/>
      <c r="J11" s="52"/>
      <c r="K11" s="148">
        <f t="shared" si="1"/>
        <v>3204.5</v>
      </c>
      <c r="L11" s="148">
        <f t="shared" si="2"/>
        <v>8972.6</v>
      </c>
      <c r="M11" s="148">
        <f t="shared" si="3"/>
        <v>1085.76</v>
      </c>
      <c r="N11" s="149">
        <f t="shared" si="4"/>
        <v>180.86574999999999</v>
      </c>
      <c r="O11" s="148">
        <v>1</v>
      </c>
      <c r="P11" s="145">
        <f>+(G11+L11+M11+N11)*O11</f>
        <v>47939.225749999998</v>
      </c>
      <c r="Q11" s="145">
        <f>+(G11+K11+L11+M11+N11)*O11</f>
        <v>51143.725749999998</v>
      </c>
    </row>
    <row r="12" spans="1:23" s="56" customFormat="1" ht="33.75" x14ac:dyDescent="0.25">
      <c r="A12" s="252"/>
      <c r="B12" s="253"/>
      <c r="C12" s="253"/>
      <c r="D12" s="253"/>
      <c r="E12" s="254"/>
      <c r="F12" s="51" t="s">
        <v>145</v>
      </c>
      <c r="G12" s="52">
        <v>18975</v>
      </c>
      <c r="H12" s="52"/>
      <c r="I12" s="52"/>
      <c r="J12" s="52"/>
      <c r="K12" s="148">
        <f t="shared" si="1"/>
        <v>1612.875</v>
      </c>
      <c r="L12" s="148">
        <f t="shared" si="2"/>
        <v>4516.05</v>
      </c>
      <c r="M12" s="148">
        <f t="shared" si="3"/>
        <v>546.48</v>
      </c>
      <c r="N12" s="149">
        <f t="shared" si="4"/>
        <v>91.032562499999997</v>
      </c>
      <c r="O12" s="148">
        <v>1</v>
      </c>
      <c r="P12" s="145">
        <f>+(G12+L12+M12+N12)*O12</f>
        <v>24128.562562499999</v>
      </c>
      <c r="Q12" s="145">
        <f>+(G12+K12+L12+M12+N12)*O12</f>
        <v>25741.437562499999</v>
      </c>
    </row>
    <row r="13" spans="1:23" s="56" customFormat="1" ht="26.25" customHeight="1" x14ac:dyDescent="0.25">
      <c r="A13" s="252"/>
      <c r="B13" s="253"/>
      <c r="C13" s="253"/>
      <c r="D13" s="253"/>
      <c r="E13" s="254"/>
      <c r="F13" s="51" t="s">
        <v>146</v>
      </c>
      <c r="G13" s="52">
        <v>11000</v>
      </c>
      <c r="H13" s="52"/>
      <c r="I13" s="52"/>
      <c r="J13" s="52"/>
      <c r="K13" s="148">
        <f t="shared" si="1"/>
        <v>935</v>
      </c>
      <c r="L13" s="148">
        <f t="shared" si="2"/>
        <v>2618</v>
      </c>
      <c r="M13" s="148"/>
      <c r="N13" s="149"/>
      <c r="O13" s="148">
        <v>1</v>
      </c>
      <c r="P13" s="145">
        <f>+(G13+L13)*O13</f>
        <v>13618</v>
      </c>
      <c r="Q13" s="145">
        <f>+(G13+K13+L13+M13+N13)*O13</f>
        <v>14553</v>
      </c>
    </row>
    <row r="14" spans="1:23" s="56" customFormat="1" ht="24.75" customHeight="1" x14ac:dyDescent="0.25">
      <c r="A14" s="252"/>
      <c r="B14" s="253"/>
      <c r="C14" s="253"/>
      <c r="D14" s="253"/>
      <c r="E14" s="254"/>
      <c r="F14" s="51" t="s">
        <v>66</v>
      </c>
      <c r="G14" s="52">
        <v>3000</v>
      </c>
      <c r="H14" s="52"/>
      <c r="I14" s="52"/>
      <c r="J14" s="52"/>
      <c r="K14" s="148"/>
      <c r="L14" s="148"/>
      <c r="M14" s="148"/>
      <c r="N14" s="149"/>
      <c r="O14" s="148">
        <v>1</v>
      </c>
      <c r="P14" s="145">
        <f>+G14</f>
        <v>3000</v>
      </c>
      <c r="Q14" s="145">
        <f>+(G14+J14+L14+M14+N14+K14)*O14</f>
        <v>3000</v>
      </c>
    </row>
    <row r="15" spans="1:23" s="56" customFormat="1" x14ac:dyDescent="0.25">
      <c r="A15" s="252"/>
      <c r="B15" s="253"/>
      <c r="C15" s="253"/>
      <c r="D15" s="253"/>
      <c r="E15" s="254"/>
      <c r="F15" s="51"/>
      <c r="G15" s="52"/>
      <c r="H15" s="52"/>
      <c r="I15" s="52"/>
      <c r="J15" s="52"/>
      <c r="K15" s="148"/>
      <c r="L15" s="148"/>
      <c r="M15" s="148"/>
      <c r="N15" s="149"/>
      <c r="O15" s="53"/>
      <c r="P15" s="148"/>
      <c r="Q15" s="148"/>
    </row>
    <row r="16" spans="1:23" s="56" customFormat="1" x14ac:dyDescent="0.25">
      <c r="A16" s="252"/>
      <c r="B16" s="253"/>
      <c r="C16" s="253"/>
      <c r="D16" s="253"/>
      <c r="E16" s="254"/>
      <c r="F16" s="51"/>
      <c r="G16" s="52"/>
      <c r="H16" s="52"/>
      <c r="I16" s="52"/>
      <c r="J16" s="52"/>
      <c r="K16" s="148"/>
      <c r="L16" s="148"/>
      <c r="M16" s="148"/>
      <c r="N16" s="148"/>
      <c r="O16" s="53"/>
      <c r="P16" s="148"/>
      <c r="Q16" s="148"/>
    </row>
    <row r="17" spans="1:17" s="56" customFormat="1" x14ac:dyDescent="0.25">
      <c r="A17" s="255"/>
      <c r="B17" s="256"/>
      <c r="C17" s="256"/>
      <c r="D17" s="256"/>
      <c r="E17" s="257"/>
      <c r="F17" s="51"/>
      <c r="G17" s="52"/>
      <c r="H17" s="52"/>
      <c r="I17" s="52"/>
      <c r="J17" s="52"/>
      <c r="K17" s="53"/>
      <c r="L17" s="53"/>
      <c r="M17" s="148"/>
      <c r="N17" s="148"/>
      <c r="O17" s="146" t="s">
        <v>16</v>
      </c>
      <c r="P17" s="146">
        <f>SUM(P3:P14)</f>
        <v>321390.22576938121</v>
      </c>
      <c r="Q17" s="146">
        <f>SUM(Q3:Q14)</f>
        <v>342697.74080688128</v>
      </c>
    </row>
    <row r="18" spans="1:17" ht="18.95" customHeight="1" x14ac:dyDescent="0.25">
      <c r="G18" s="32"/>
      <c r="H18" s="32"/>
      <c r="I18" s="32"/>
      <c r="J18" s="32"/>
    </row>
    <row r="19" spans="1:17" x14ac:dyDescent="0.25">
      <c r="E19" s="73"/>
      <c r="F19" s="74"/>
      <c r="G19" s="74"/>
      <c r="H19" s="74"/>
      <c r="I19" s="74"/>
      <c r="J19" s="74"/>
      <c r="K19" s="258" t="s">
        <v>137</v>
      </c>
      <c r="L19" s="259"/>
      <c r="M19" s="259"/>
      <c r="N19" s="259"/>
      <c r="O19" s="260"/>
      <c r="P19" s="141" t="s">
        <v>136</v>
      </c>
      <c r="Q19" s="142"/>
    </row>
    <row r="20" spans="1:17" ht="15" customHeight="1" x14ac:dyDescent="0.25">
      <c r="F20" s="74"/>
      <c r="G20" s="74"/>
      <c r="H20" s="74"/>
      <c r="I20" s="74"/>
      <c r="J20" s="74"/>
      <c r="K20" s="250" t="s">
        <v>147</v>
      </c>
      <c r="L20" s="250"/>
      <c r="M20" s="250"/>
      <c r="N20" s="250"/>
      <c r="O20" s="251"/>
      <c r="P20" s="168">
        <f>'CALCOLO LIMITI DI SPESA'!D50</f>
        <v>486527.10979999998</v>
      </c>
      <c r="Q20" s="143"/>
    </row>
    <row r="21" spans="1:17" ht="15" customHeight="1" x14ac:dyDescent="0.25">
      <c r="F21" s="74"/>
      <c r="G21" s="74"/>
      <c r="H21" s="74"/>
      <c r="I21" s="74"/>
      <c r="J21" s="74"/>
      <c r="K21" s="250" t="s">
        <v>183</v>
      </c>
      <c r="L21" s="250"/>
      <c r="M21" s="250"/>
      <c r="N21" s="250"/>
      <c r="O21" s="251"/>
      <c r="P21" s="168">
        <f>+P17</f>
        <v>321390.22576938121</v>
      </c>
      <c r="Q21" s="143"/>
    </row>
    <row r="22" spans="1:17" ht="15" customHeight="1" x14ac:dyDescent="0.25">
      <c r="F22" s="74"/>
      <c r="G22" s="74"/>
      <c r="H22" s="74"/>
      <c r="I22" s="74"/>
      <c r="J22" s="74"/>
      <c r="K22" s="250" t="s">
        <v>205</v>
      </c>
      <c r="L22" s="250"/>
      <c r="M22" s="250"/>
      <c r="N22" s="250"/>
      <c r="O22" s="251"/>
      <c r="P22" s="168">
        <v>10000</v>
      </c>
      <c r="Q22" s="143"/>
    </row>
    <row r="23" spans="1:17" ht="15" customHeight="1" x14ac:dyDescent="0.25">
      <c r="F23" s="74"/>
      <c r="G23" s="74"/>
      <c r="H23" s="74"/>
      <c r="I23" s="74"/>
      <c r="J23" s="74"/>
      <c r="K23" s="261" t="s">
        <v>151</v>
      </c>
      <c r="L23" s="261"/>
      <c r="M23" s="261"/>
      <c r="N23" s="261"/>
      <c r="O23" s="262"/>
      <c r="P23" s="169">
        <f>P20-P21-P22</f>
        <v>155136.88403061876</v>
      </c>
      <c r="Q23" s="144"/>
    </row>
    <row r="24" spans="1:17" x14ac:dyDescent="0.25">
      <c r="F24" s="74"/>
      <c r="G24" s="74"/>
      <c r="H24" s="74"/>
      <c r="I24" s="74"/>
      <c r="J24" s="74"/>
      <c r="K24" s="74"/>
      <c r="L24" s="74"/>
      <c r="M24" s="74"/>
      <c r="Q24" s="3"/>
    </row>
    <row r="26" spans="1:17" ht="74.45" customHeight="1" x14ac:dyDescent="0.25">
      <c r="A26" s="45" t="s">
        <v>184</v>
      </c>
      <c r="B26" s="98" t="s">
        <v>196</v>
      </c>
      <c r="C26" s="98" t="s">
        <v>203</v>
      </c>
      <c r="D26" s="98" t="s">
        <v>200</v>
      </c>
      <c r="E26" s="45" t="s">
        <v>3</v>
      </c>
      <c r="F26" s="46" t="s">
        <v>11</v>
      </c>
      <c r="G26" s="46" t="s">
        <v>174</v>
      </c>
      <c r="H26" s="46" t="s">
        <v>231</v>
      </c>
      <c r="I26" s="46" t="s">
        <v>175</v>
      </c>
      <c r="J26" s="47" t="s">
        <v>169</v>
      </c>
      <c r="K26" s="47" t="s">
        <v>0</v>
      </c>
      <c r="L26" s="47" t="s">
        <v>192</v>
      </c>
      <c r="M26" s="47" t="s">
        <v>193</v>
      </c>
      <c r="N26" s="47" t="s">
        <v>194</v>
      </c>
      <c r="O26" s="47" t="s">
        <v>12</v>
      </c>
      <c r="P26" s="72" t="s">
        <v>176</v>
      </c>
      <c r="Q26" s="72" t="s">
        <v>177</v>
      </c>
    </row>
    <row r="27" spans="1:17" ht="74.25" customHeight="1" x14ac:dyDescent="0.25">
      <c r="A27" s="45" t="s">
        <v>186</v>
      </c>
      <c r="B27" s="99" t="s">
        <v>195</v>
      </c>
      <c r="C27" s="99" t="s">
        <v>199</v>
      </c>
      <c r="D27" s="99" t="s">
        <v>201</v>
      </c>
      <c r="E27" s="50">
        <v>10</v>
      </c>
      <c r="F27" s="51" t="s">
        <v>7</v>
      </c>
      <c r="G27" s="52">
        <f>G3</f>
        <v>25146.712499999998</v>
      </c>
      <c r="H27" s="52">
        <v>674.7</v>
      </c>
      <c r="I27" s="52">
        <v>1176.94</v>
      </c>
      <c r="J27" s="52"/>
      <c r="K27" s="52">
        <f>+(G27+H27+I27+J27)*8.5/100</f>
        <v>2294.8599624999997</v>
      </c>
      <c r="L27" s="148">
        <f>+(G27+H27+I27+J27)*23.8/100</f>
        <v>6425.6078949999992</v>
      </c>
      <c r="M27" s="148">
        <f>+(G27+H27+I27+J27)*2.88/100</f>
        <v>777.55255199999988</v>
      </c>
      <c r="N27" s="148">
        <f>((G27+H27+I27+J27)*4.75/1000)+(1%*((G27+H27+I27+J27)*4.75/1000))</f>
        <v>129.52459611875</v>
      </c>
      <c r="O27" s="198">
        <v>0.27779999999999999</v>
      </c>
      <c r="P27" s="145">
        <f>+(G27+H27+I27+J27+L27+M27+N27)*(O27/13)*2</f>
        <v>1467.2557276120594</v>
      </c>
      <c r="Q27" s="145">
        <f>+(G27+H27+I27+J27+K27+L27+M27+N27)*(O27/13)*2</f>
        <v>1565.334511855521</v>
      </c>
    </row>
    <row r="28" spans="1:17" ht="26.25" customHeight="1" x14ac:dyDescent="0.25">
      <c r="A28" s="150"/>
      <c r="B28" s="121"/>
      <c r="C28" s="121"/>
      <c r="D28" s="121"/>
      <c r="E28" s="151"/>
      <c r="F28" s="51"/>
      <c r="G28" s="52"/>
      <c r="H28" s="52"/>
      <c r="I28" s="52"/>
      <c r="J28" s="52"/>
      <c r="K28" s="148"/>
      <c r="L28" s="148"/>
      <c r="M28" s="148"/>
      <c r="N28" s="149"/>
      <c r="O28" s="148"/>
      <c r="P28" s="145"/>
      <c r="Q28" s="145"/>
    </row>
    <row r="29" spans="1:17" x14ac:dyDescent="0.25">
      <c r="O29" s="148"/>
      <c r="P29" s="53"/>
      <c r="Q29" s="53"/>
    </row>
    <row r="30" spans="1:17" x14ac:dyDescent="0.25">
      <c r="O30" s="146" t="s">
        <v>16</v>
      </c>
      <c r="P30" s="146">
        <f>+P27</f>
        <v>1467.2557276120594</v>
      </c>
      <c r="Q30" s="146">
        <f>+Q27</f>
        <v>1565.334511855521</v>
      </c>
    </row>
    <row r="33" spans="7:16" x14ac:dyDescent="0.25">
      <c r="K33" s="263" t="s">
        <v>138</v>
      </c>
      <c r="L33" s="259"/>
      <c r="M33" s="259"/>
      <c r="N33" s="259"/>
      <c r="O33" s="260"/>
      <c r="P33" s="141" t="str">
        <f>+P19</f>
        <v>VERIFICA LIMITE</v>
      </c>
    </row>
    <row r="34" spans="7:16" x14ac:dyDescent="0.25">
      <c r="G34" s="166"/>
      <c r="H34" s="166"/>
      <c r="I34" s="166"/>
      <c r="J34" s="166"/>
      <c r="K34" s="244" t="s">
        <v>148</v>
      </c>
      <c r="L34" s="245"/>
      <c r="M34" s="245"/>
      <c r="N34" s="245"/>
      <c r="O34" s="246"/>
      <c r="P34" s="168">
        <v>33000</v>
      </c>
    </row>
    <row r="35" spans="7:16" x14ac:dyDescent="0.25">
      <c r="G35" s="166"/>
      <c r="H35" s="166"/>
      <c r="I35" s="166"/>
      <c r="J35" s="166"/>
      <c r="K35" s="244" t="s">
        <v>190</v>
      </c>
      <c r="L35" s="245"/>
      <c r="M35" s="245"/>
      <c r="N35" s="245"/>
      <c r="O35" s="246"/>
      <c r="P35" s="168">
        <f>+P30</f>
        <v>1467.2557276120594</v>
      </c>
    </row>
    <row r="36" spans="7:16" x14ac:dyDescent="0.25">
      <c r="G36" s="166"/>
      <c r="H36" s="166"/>
      <c r="I36" s="166"/>
      <c r="J36" s="166"/>
      <c r="K36" s="244" t="s">
        <v>205</v>
      </c>
      <c r="L36" s="245"/>
      <c r="M36" s="245"/>
      <c r="N36" s="245"/>
      <c r="O36" s="246"/>
      <c r="P36" s="168">
        <v>7000</v>
      </c>
    </row>
    <row r="37" spans="7:16" x14ac:dyDescent="0.25">
      <c r="J37" s="165"/>
      <c r="K37" s="245" t="s">
        <v>151</v>
      </c>
      <c r="L37" s="245"/>
      <c r="M37" s="245"/>
      <c r="N37" s="245"/>
      <c r="O37" s="246"/>
      <c r="P37" s="170">
        <f>+P34-P35-P36</f>
        <v>24532.744272387939</v>
      </c>
    </row>
  </sheetData>
  <mergeCells count="14">
    <mergeCell ref="K36:O36"/>
    <mergeCell ref="K37:O37"/>
    <mergeCell ref="A3:A4"/>
    <mergeCell ref="A5:A7"/>
    <mergeCell ref="A8:A9"/>
    <mergeCell ref="K20:O20"/>
    <mergeCell ref="K21:O21"/>
    <mergeCell ref="A10:E17"/>
    <mergeCell ref="K19:O19"/>
    <mergeCell ref="K22:O22"/>
    <mergeCell ref="K23:O23"/>
    <mergeCell ref="K33:O33"/>
    <mergeCell ref="K34:O34"/>
    <mergeCell ref="K35:O35"/>
  </mergeCells>
  <conditionalFormatting sqref="P37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P23:Q23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30CE-BDF6-4DCD-91A6-C036717B974A}">
  <dimension ref="A2:AF36"/>
  <sheetViews>
    <sheetView topLeftCell="F10" workbookViewId="0">
      <selection activeCell="P36" sqref="P36"/>
    </sheetView>
  </sheetViews>
  <sheetFormatPr defaultRowHeight="15" x14ac:dyDescent="0.25"/>
  <cols>
    <col min="1" max="1" width="17.42578125" bestFit="1" customWidth="1"/>
    <col min="2" max="2" width="39" bestFit="1" customWidth="1"/>
    <col min="3" max="3" width="40.140625" bestFit="1" customWidth="1"/>
    <col min="4" max="4" width="10.7109375" customWidth="1"/>
    <col min="6" max="6" width="22.7109375" customWidth="1"/>
    <col min="7" max="9" width="13.140625" customWidth="1"/>
    <col min="10" max="10" width="17.5703125" customWidth="1"/>
    <col min="11" max="11" width="11.7109375" customWidth="1"/>
    <col min="12" max="13" width="11.140625" customWidth="1"/>
    <col min="14" max="14" width="9.7109375" customWidth="1"/>
    <col min="15" max="15" width="11.7109375" customWidth="1"/>
    <col min="16" max="16" width="15.140625" customWidth="1"/>
    <col min="17" max="17" width="15.85546875" customWidth="1"/>
  </cols>
  <sheetData>
    <row r="2" spans="1:32" ht="63" customHeight="1" x14ac:dyDescent="0.25">
      <c r="A2" s="45" t="s">
        <v>184</v>
      </c>
      <c r="B2" s="45" t="s">
        <v>14</v>
      </c>
      <c r="C2" s="45" t="s">
        <v>188</v>
      </c>
      <c r="D2" s="152" t="s">
        <v>166</v>
      </c>
      <c r="E2" s="45" t="s">
        <v>3</v>
      </c>
      <c r="F2" s="46" t="s">
        <v>164</v>
      </c>
      <c r="G2" s="46" t="s">
        <v>174</v>
      </c>
      <c r="H2" s="46" t="s">
        <v>231</v>
      </c>
      <c r="I2" s="46" t="s">
        <v>181</v>
      </c>
      <c r="J2" s="46" t="s">
        <v>169</v>
      </c>
      <c r="K2" s="47" t="s">
        <v>0</v>
      </c>
      <c r="L2" s="47" t="s">
        <v>192</v>
      </c>
      <c r="M2" s="47" t="s">
        <v>193</v>
      </c>
      <c r="N2" s="47" t="s">
        <v>194</v>
      </c>
      <c r="O2" s="47" t="s">
        <v>12</v>
      </c>
      <c r="P2" s="72" t="s">
        <v>182</v>
      </c>
      <c r="Q2" s="72" t="s">
        <v>227</v>
      </c>
      <c r="R2" s="150"/>
      <c r="S2" s="150"/>
      <c r="T2" s="150"/>
      <c r="U2" s="181"/>
      <c r="V2" s="181"/>
      <c r="W2" s="150"/>
      <c r="X2" s="182"/>
      <c r="Y2" s="182"/>
      <c r="Z2" s="182"/>
      <c r="AA2" s="182"/>
      <c r="AB2" s="187"/>
      <c r="AC2" s="187"/>
      <c r="AD2" s="187"/>
      <c r="AE2" s="187"/>
      <c r="AF2" s="187"/>
    </row>
    <row r="3" spans="1:32" x14ac:dyDescent="0.25">
      <c r="A3" s="247" t="s">
        <v>185</v>
      </c>
      <c r="B3" s="50" t="s">
        <v>157</v>
      </c>
      <c r="C3" s="50" t="s">
        <v>189</v>
      </c>
      <c r="D3" s="147" t="s">
        <v>140</v>
      </c>
      <c r="E3" s="50">
        <v>36</v>
      </c>
      <c r="F3" s="51" t="s">
        <v>7</v>
      </c>
      <c r="G3" s="52">
        <v>25146.712499999998</v>
      </c>
      <c r="H3" s="52">
        <v>674.7</v>
      </c>
      <c r="I3" s="52">
        <v>1655.74</v>
      </c>
      <c r="J3" s="52"/>
      <c r="K3" s="148">
        <f>+(G3+H3+I3+J3)*8.5/100</f>
        <v>2335.5579625</v>
      </c>
      <c r="L3" s="148">
        <f>+(G3+H3+I3+J3)*23.8/100</f>
        <v>6539.5622949999997</v>
      </c>
      <c r="M3" s="148">
        <f>+(G3+H3+I3+J3)*2.88/100</f>
        <v>791.341992</v>
      </c>
      <c r="N3" s="149">
        <f>((+G3+H3+I3+J3)*4.75/1000)+(1%*((G3+H3+I3+J3)*4.75/1000))</f>
        <v>131.82163911875</v>
      </c>
      <c r="O3" s="145">
        <f t="shared" ref="O3:O9" si="0">+E3/36</f>
        <v>1</v>
      </c>
      <c r="P3" s="145">
        <f>+(G3+H3+I3+J3+L3+M3+N3)*O3</f>
        <v>34939.878426118754</v>
      </c>
      <c r="Q3" s="145">
        <f>+(G3+H3+I3+J3+K3+L3+M3+N3)*O3</f>
        <v>37275.436388618757</v>
      </c>
      <c r="R3" s="253"/>
      <c r="S3" s="183"/>
      <c r="T3" s="151"/>
      <c r="U3" s="184"/>
      <c r="V3" s="151"/>
      <c r="W3" s="151"/>
      <c r="X3" s="185"/>
      <c r="Y3" s="186"/>
      <c r="Z3" s="186"/>
      <c r="AA3" s="186"/>
      <c r="AB3" s="188"/>
      <c r="AC3" s="188"/>
      <c r="AD3" s="188"/>
      <c r="AE3" s="189"/>
      <c r="AF3" s="190"/>
    </row>
    <row r="4" spans="1:32" x14ac:dyDescent="0.25">
      <c r="A4" s="248"/>
      <c r="B4" s="50" t="s">
        <v>191</v>
      </c>
      <c r="C4" s="147" t="s">
        <v>153</v>
      </c>
      <c r="D4" s="147" t="s">
        <v>140</v>
      </c>
      <c r="E4" s="50">
        <v>36</v>
      </c>
      <c r="F4" s="51" t="s">
        <v>6</v>
      </c>
      <c r="G4" s="52">
        <v>23175.609166666665</v>
      </c>
      <c r="H4" s="52">
        <v>595.4</v>
      </c>
      <c r="I4" s="52">
        <v>1525.96</v>
      </c>
      <c r="J4" s="52"/>
      <c r="K4" s="148">
        <f t="shared" ref="K4:K13" si="1">+(G4+H4+I4+J4)*8.5/100</f>
        <v>2150.2423791666665</v>
      </c>
      <c r="L4" s="148">
        <f t="shared" ref="L4:L13" si="2">+(G4+H4+I4+J4)*23.8/100</f>
        <v>6020.6786616666659</v>
      </c>
      <c r="M4" s="148">
        <f t="shared" ref="M4:M12" si="3">+(G4+H4+I4+J4)*2.88/100</f>
        <v>728.55271199999993</v>
      </c>
      <c r="N4" s="149">
        <f t="shared" ref="N4:N12" si="4">((+G4+H4+I4+J4)*4.75/1000)+(1%*((G4+H4+I4+J4)*4.75/1000))</f>
        <v>121.36220957708332</v>
      </c>
      <c r="O4" s="145">
        <f t="shared" si="0"/>
        <v>1</v>
      </c>
      <c r="P4" s="145">
        <f t="shared" ref="P4:P14" si="5">+(G4+H4+I4+J4+L4+M4+N4)*O4</f>
        <v>32167.562749910416</v>
      </c>
      <c r="Q4" s="145">
        <f t="shared" ref="Q4:Q9" si="6">+(G4+H4+I4+J4+K4+L4+M4+N4)*O4</f>
        <v>34317.805129077082</v>
      </c>
      <c r="R4" s="253"/>
      <c r="S4" s="183"/>
      <c r="T4" s="184"/>
      <c r="U4" s="184"/>
      <c r="V4" s="151"/>
      <c r="W4" s="151"/>
      <c r="X4" s="185"/>
      <c r="Y4" s="186"/>
      <c r="Z4" s="186"/>
      <c r="AA4" s="186"/>
      <c r="AB4" s="188"/>
      <c r="AC4" s="188"/>
      <c r="AD4" s="188"/>
      <c r="AE4" s="189"/>
      <c r="AF4" s="190"/>
    </row>
    <row r="5" spans="1:32" x14ac:dyDescent="0.25">
      <c r="A5" s="247" t="s">
        <v>186</v>
      </c>
      <c r="B5" s="50" t="s">
        <v>154</v>
      </c>
      <c r="C5" s="50" t="s">
        <v>189</v>
      </c>
      <c r="D5" s="147" t="s">
        <v>140</v>
      </c>
      <c r="E5" s="50">
        <v>36</v>
      </c>
      <c r="F5" s="51" t="s">
        <v>7</v>
      </c>
      <c r="G5" s="52">
        <v>25146.712499999998</v>
      </c>
      <c r="H5" s="52">
        <v>674.7</v>
      </c>
      <c r="I5" s="52">
        <v>1655.74</v>
      </c>
      <c r="J5" s="52">
        <v>1600</v>
      </c>
      <c r="K5" s="148">
        <f t="shared" si="1"/>
        <v>2471.5579625</v>
      </c>
      <c r="L5" s="148">
        <f t="shared" si="2"/>
        <v>6920.3622949999999</v>
      </c>
      <c r="M5" s="148">
        <f t="shared" si="3"/>
        <v>837.42199200000005</v>
      </c>
      <c r="N5" s="149">
        <f t="shared" si="4"/>
        <v>139.49763911874999</v>
      </c>
      <c r="O5" s="145">
        <f t="shared" si="0"/>
        <v>1</v>
      </c>
      <c r="P5" s="145">
        <f t="shared" si="5"/>
        <v>36974.434426118758</v>
      </c>
      <c r="Q5" s="145">
        <f t="shared" si="6"/>
        <v>39445.992388618753</v>
      </c>
      <c r="R5" s="253"/>
      <c r="S5" s="183"/>
      <c r="T5" s="151"/>
      <c r="U5" s="184"/>
      <c r="V5" s="151"/>
      <c r="W5" s="151"/>
      <c r="X5" s="185"/>
      <c r="Y5" s="186"/>
      <c r="Z5" s="186"/>
      <c r="AA5" s="186"/>
      <c r="AB5" s="188"/>
      <c r="AC5" s="188"/>
      <c r="AD5" s="188"/>
      <c r="AE5" s="189"/>
      <c r="AF5" s="190"/>
    </row>
    <row r="6" spans="1:32" x14ac:dyDescent="0.25">
      <c r="A6" s="249"/>
      <c r="B6" s="50" t="s">
        <v>158</v>
      </c>
      <c r="C6" s="50" t="s">
        <v>153</v>
      </c>
      <c r="D6" s="147" t="s">
        <v>140</v>
      </c>
      <c r="E6" s="50">
        <v>36</v>
      </c>
      <c r="F6" s="51" t="s">
        <v>6</v>
      </c>
      <c r="G6" s="52">
        <v>23175.609166666665</v>
      </c>
      <c r="H6" s="52">
        <v>595.4</v>
      </c>
      <c r="I6" s="52">
        <v>1525.96</v>
      </c>
      <c r="J6" s="52"/>
      <c r="K6" s="148">
        <f t="shared" si="1"/>
        <v>2150.2423791666665</v>
      </c>
      <c r="L6" s="148">
        <f t="shared" si="2"/>
        <v>6020.6786616666659</v>
      </c>
      <c r="M6" s="148">
        <f t="shared" si="3"/>
        <v>728.55271199999993</v>
      </c>
      <c r="N6" s="149">
        <f t="shared" si="4"/>
        <v>121.36220957708332</v>
      </c>
      <c r="O6" s="145">
        <f t="shared" si="0"/>
        <v>1</v>
      </c>
      <c r="P6" s="145">
        <f t="shared" si="5"/>
        <v>32167.562749910416</v>
      </c>
      <c r="Q6" s="145">
        <f t="shared" si="6"/>
        <v>34317.805129077082</v>
      </c>
      <c r="R6" s="253"/>
      <c r="S6" s="183"/>
      <c r="T6" s="151"/>
      <c r="U6" s="184"/>
      <c r="V6" s="151"/>
      <c r="W6" s="151"/>
      <c r="X6" s="185"/>
      <c r="Y6" s="186"/>
      <c r="Z6" s="186"/>
      <c r="AA6" s="186"/>
      <c r="AB6" s="188"/>
      <c r="AC6" s="188"/>
      <c r="AD6" s="188"/>
      <c r="AE6" s="189"/>
      <c r="AF6" s="190"/>
    </row>
    <row r="7" spans="1:32" x14ac:dyDescent="0.25">
      <c r="A7" s="248"/>
      <c r="B7" s="50" t="s">
        <v>155</v>
      </c>
      <c r="C7" s="147" t="s">
        <v>189</v>
      </c>
      <c r="D7" s="147" t="s">
        <v>140</v>
      </c>
      <c r="E7" s="50">
        <v>36</v>
      </c>
      <c r="F7" s="51" t="s">
        <v>7</v>
      </c>
      <c r="G7" s="52">
        <v>25146.712499999998</v>
      </c>
      <c r="H7" s="52">
        <v>674.7</v>
      </c>
      <c r="I7" s="52">
        <v>1655.74</v>
      </c>
      <c r="J7" s="52"/>
      <c r="K7" s="148">
        <f t="shared" si="1"/>
        <v>2335.5579625</v>
      </c>
      <c r="L7" s="148">
        <f t="shared" si="2"/>
        <v>6539.5622949999997</v>
      </c>
      <c r="M7" s="148">
        <f t="shared" si="3"/>
        <v>791.341992</v>
      </c>
      <c r="N7" s="149">
        <f t="shared" si="4"/>
        <v>131.82163911875</v>
      </c>
      <c r="O7" s="145">
        <f t="shared" si="0"/>
        <v>1</v>
      </c>
      <c r="P7" s="145">
        <f t="shared" si="5"/>
        <v>34939.878426118754</v>
      </c>
      <c r="Q7" s="145">
        <f t="shared" si="6"/>
        <v>37275.436388618757</v>
      </c>
      <c r="R7" s="253"/>
      <c r="S7" s="183"/>
      <c r="T7" s="184"/>
      <c r="U7" s="184"/>
      <c r="V7" s="151"/>
      <c r="W7" s="151"/>
      <c r="X7" s="185"/>
      <c r="Y7" s="186"/>
      <c r="Z7" s="186"/>
      <c r="AA7" s="186"/>
      <c r="AB7" s="188"/>
      <c r="AC7" s="188"/>
      <c r="AD7" s="188"/>
      <c r="AE7" s="189"/>
      <c r="AF7" s="190"/>
    </row>
    <row r="8" spans="1:32" x14ac:dyDescent="0.25">
      <c r="A8" s="247" t="s">
        <v>187</v>
      </c>
      <c r="B8" s="50" t="s">
        <v>197</v>
      </c>
      <c r="C8" s="147" t="s">
        <v>189</v>
      </c>
      <c r="D8" s="147" t="s">
        <v>140</v>
      </c>
      <c r="E8" s="50">
        <v>36</v>
      </c>
      <c r="F8" s="51" t="s">
        <v>7</v>
      </c>
      <c r="G8" s="52">
        <v>25146.712499999998</v>
      </c>
      <c r="H8" s="52">
        <v>674.7</v>
      </c>
      <c r="I8" s="52">
        <v>1655.74</v>
      </c>
      <c r="J8" s="52">
        <v>1600</v>
      </c>
      <c r="K8" s="148">
        <f t="shared" si="1"/>
        <v>2471.5579625</v>
      </c>
      <c r="L8" s="148">
        <f t="shared" si="2"/>
        <v>6920.3622949999999</v>
      </c>
      <c r="M8" s="148">
        <f t="shared" si="3"/>
        <v>837.42199200000005</v>
      </c>
      <c r="N8" s="149">
        <f t="shared" si="4"/>
        <v>139.49763911874999</v>
      </c>
      <c r="O8" s="145">
        <f t="shared" si="0"/>
        <v>1</v>
      </c>
      <c r="P8" s="145">
        <f t="shared" si="5"/>
        <v>36974.434426118758</v>
      </c>
      <c r="Q8" s="145">
        <f t="shared" si="6"/>
        <v>39445.992388618753</v>
      </c>
      <c r="R8" s="253"/>
      <c r="S8" s="183"/>
      <c r="T8" s="184"/>
      <c r="U8" s="184"/>
      <c r="V8" s="151"/>
      <c r="W8" s="151"/>
      <c r="X8" s="185"/>
      <c r="Y8" s="186"/>
      <c r="Z8" s="186"/>
      <c r="AA8" s="186"/>
      <c r="AB8" s="188"/>
      <c r="AC8" s="188"/>
      <c r="AD8" s="188"/>
      <c r="AE8" s="189"/>
      <c r="AF8" s="190"/>
    </row>
    <row r="9" spans="1:32" x14ac:dyDescent="0.25">
      <c r="A9" s="248"/>
      <c r="B9" s="50" t="s">
        <v>198</v>
      </c>
      <c r="C9" s="50" t="s">
        <v>162</v>
      </c>
      <c r="D9" s="147" t="s">
        <v>140</v>
      </c>
      <c r="E9" s="50">
        <v>36</v>
      </c>
      <c r="F9" s="51" t="s">
        <v>149</v>
      </c>
      <c r="G9" s="52">
        <v>20620.719166666666</v>
      </c>
      <c r="H9" s="52">
        <v>421.2</v>
      </c>
      <c r="I9" s="52">
        <v>1357.73</v>
      </c>
      <c r="J9" s="52"/>
      <c r="K9" s="148">
        <f t="shared" si="1"/>
        <v>1903.9701791666666</v>
      </c>
      <c r="L9" s="148">
        <f t="shared" si="2"/>
        <v>5331.1165016666673</v>
      </c>
      <c r="M9" s="148">
        <f t="shared" si="3"/>
        <v>645.10989599999994</v>
      </c>
      <c r="N9" s="149">
        <f t="shared" si="4"/>
        <v>107.46231687708334</v>
      </c>
      <c r="O9" s="145">
        <f t="shared" si="0"/>
        <v>1</v>
      </c>
      <c r="P9" s="145">
        <f t="shared" si="5"/>
        <v>28483.33788121042</v>
      </c>
      <c r="Q9" s="145">
        <f t="shared" si="6"/>
        <v>30387.308060377087</v>
      </c>
      <c r="R9" s="253"/>
      <c r="S9" s="183"/>
      <c r="T9" s="151"/>
      <c r="U9" s="184"/>
      <c r="V9" s="151"/>
      <c r="W9" s="151"/>
      <c r="X9" s="185"/>
      <c r="Y9" s="186"/>
      <c r="Z9" s="186"/>
      <c r="AA9" s="186"/>
      <c r="AB9" s="188"/>
      <c r="AC9" s="188"/>
      <c r="AD9" s="188"/>
      <c r="AE9" s="189"/>
      <c r="AF9" s="190"/>
    </row>
    <row r="10" spans="1:32" ht="23.25" customHeight="1" x14ac:dyDescent="0.25">
      <c r="A10" s="252"/>
      <c r="B10" s="253"/>
      <c r="C10" s="253"/>
      <c r="D10" s="253"/>
      <c r="E10" s="254"/>
      <c r="F10" s="51"/>
      <c r="G10" s="52"/>
      <c r="H10" s="52"/>
      <c r="I10" s="52"/>
      <c r="J10" s="52"/>
      <c r="K10" s="148"/>
      <c r="L10" s="148"/>
      <c r="M10" s="148"/>
      <c r="N10" s="149"/>
      <c r="O10" s="145"/>
      <c r="P10" s="145"/>
      <c r="Q10" s="145"/>
      <c r="R10" s="253"/>
      <c r="S10" s="253"/>
      <c r="T10" s="253"/>
      <c r="U10" s="253"/>
      <c r="V10" s="253"/>
      <c r="W10" s="253"/>
      <c r="X10" s="185"/>
      <c r="Y10" s="186"/>
      <c r="Z10" s="186"/>
      <c r="AA10" s="186"/>
      <c r="AB10" s="188"/>
      <c r="AC10" s="188"/>
      <c r="AD10" s="188"/>
      <c r="AE10" s="189"/>
      <c r="AF10" s="190"/>
    </row>
    <row r="11" spans="1:32" ht="29.25" customHeight="1" x14ac:dyDescent="0.25">
      <c r="A11" s="252"/>
      <c r="B11" s="253"/>
      <c r="C11" s="253"/>
      <c r="D11" s="253"/>
      <c r="E11" s="254"/>
      <c r="F11" s="51" t="s">
        <v>144</v>
      </c>
      <c r="G11" s="52">
        <v>37700</v>
      </c>
      <c r="H11" s="52"/>
      <c r="I11" s="52"/>
      <c r="J11" s="52"/>
      <c r="K11" s="148">
        <f t="shared" si="1"/>
        <v>3204.5</v>
      </c>
      <c r="L11" s="148">
        <f t="shared" si="2"/>
        <v>8972.6</v>
      </c>
      <c r="M11" s="148">
        <f t="shared" si="3"/>
        <v>1085.76</v>
      </c>
      <c r="N11" s="149">
        <f t="shared" si="4"/>
        <v>180.86574999999999</v>
      </c>
      <c r="O11" s="148">
        <v>1</v>
      </c>
      <c r="P11" s="145">
        <f t="shared" si="5"/>
        <v>47939.225749999998</v>
      </c>
      <c r="Q11" s="145">
        <f>+(G11+H11+I11+J11+K11+L11+M11+N11)*O11</f>
        <v>51143.725749999998</v>
      </c>
      <c r="R11" s="253"/>
      <c r="S11" s="253"/>
      <c r="T11" s="253"/>
      <c r="U11" s="253"/>
      <c r="V11" s="253"/>
      <c r="W11" s="253"/>
      <c r="X11" s="185"/>
      <c r="Y11" s="186"/>
      <c r="Z11" s="186"/>
      <c r="AA11" s="186"/>
      <c r="AB11" s="188"/>
      <c r="AC11" s="188"/>
      <c r="AD11" s="188"/>
      <c r="AE11" s="189"/>
      <c r="AF11" s="188"/>
    </row>
    <row r="12" spans="1:32" ht="29.25" customHeight="1" x14ac:dyDescent="0.25">
      <c r="A12" s="252"/>
      <c r="B12" s="253"/>
      <c r="C12" s="253"/>
      <c r="D12" s="253"/>
      <c r="E12" s="254"/>
      <c r="F12" s="51" t="s">
        <v>145</v>
      </c>
      <c r="G12" s="52">
        <v>18975</v>
      </c>
      <c r="H12" s="52"/>
      <c r="I12" s="52"/>
      <c r="J12" s="52"/>
      <c r="K12" s="148">
        <f t="shared" si="1"/>
        <v>1612.875</v>
      </c>
      <c r="L12" s="148">
        <f t="shared" si="2"/>
        <v>4516.05</v>
      </c>
      <c r="M12" s="148">
        <f t="shared" si="3"/>
        <v>546.48</v>
      </c>
      <c r="N12" s="149">
        <f t="shared" si="4"/>
        <v>91.032562499999997</v>
      </c>
      <c r="O12" s="148">
        <v>1</v>
      </c>
      <c r="P12" s="145">
        <f t="shared" si="5"/>
        <v>24128.562562499999</v>
      </c>
      <c r="Q12" s="145">
        <f t="shared" ref="Q12:Q14" si="7">+(G12+H12+I12+J12+K12+L12+M12+N12)*O12</f>
        <v>25741.437562499999</v>
      </c>
      <c r="R12" s="253"/>
      <c r="S12" s="253"/>
      <c r="T12" s="253"/>
      <c r="U12" s="253"/>
      <c r="V12" s="253"/>
      <c r="W12" s="253"/>
      <c r="X12" s="185"/>
      <c r="Y12" s="186"/>
      <c r="Z12" s="186"/>
      <c r="AA12" s="186"/>
      <c r="AB12" s="188"/>
      <c r="AC12" s="188"/>
      <c r="AD12" s="188"/>
      <c r="AE12" s="189"/>
      <c r="AF12" s="188"/>
    </row>
    <row r="13" spans="1:32" ht="27.75" customHeight="1" x14ac:dyDescent="0.25">
      <c r="A13" s="252"/>
      <c r="B13" s="253"/>
      <c r="C13" s="253"/>
      <c r="D13" s="253"/>
      <c r="E13" s="254"/>
      <c r="F13" s="51" t="s">
        <v>146</v>
      </c>
      <c r="G13" s="52">
        <v>11000</v>
      </c>
      <c r="H13" s="52"/>
      <c r="I13" s="52"/>
      <c r="J13" s="52"/>
      <c r="K13" s="148">
        <f t="shared" si="1"/>
        <v>935</v>
      </c>
      <c r="L13" s="148">
        <f t="shared" si="2"/>
        <v>2618</v>
      </c>
      <c r="M13" s="148"/>
      <c r="N13" s="149"/>
      <c r="O13" s="148">
        <v>1</v>
      </c>
      <c r="P13" s="145">
        <f t="shared" si="5"/>
        <v>13618</v>
      </c>
      <c r="Q13" s="145">
        <f t="shared" si="7"/>
        <v>14553</v>
      </c>
      <c r="R13" s="253"/>
      <c r="S13" s="253"/>
      <c r="T13" s="253"/>
      <c r="U13" s="253"/>
      <c r="V13" s="253"/>
      <c r="W13" s="253"/>
      <c r="X13" s="185"/>
      <c r="Y13" s="186"/>
      <c r="Z13" s="186"/>
      <c r="AA13" s="186"/>
      <c r="AB13" s="188"/>
      <c r="AC13" s="188"/>
      <c r="AD13" s="188"/>
      <c r="AE13" s="189"/>
      <c r="AF13" s="188"/>
    </row>
    <row r="14" spans="1:32" ht="24" customHeight="1" x14ac:dyDescent="0.25">
      <c r="A14" s="252"/>
      <c r="B14" s="253"/>
      <c r="C14" s="253"/>
      <c r="D14" s="253"/>
      <c r="E14" s="254"/>
      <c r="F14" s="51" t="s">
        <v>66</v>
      </c>
      <c r="G14" s="52">
        <v>3000</v>
      </c>
      <c r="H14" s="52"/>
      <c r="I14" s="52"/>
      <c r="J14" s="52"/>
      <c r="K14" s="148"/>
      <c r="L14" s="148"/>
      <c r="M14" s="148"/>
      <c r="N14" s="149"/>
      <c r="O14" s="148">
        <v>1</v>
      </c>
      <c r="P14" s="145">
        <f t="shared" si="5"/>
        <v>3000</v>
      </c>
      <c r="Q14" s="145">
        <f t="shared" si="7"/>
        <v>3000</v>
      </c>
      <c r="R14" s="253"/>
      <c r="S14" s="253"/>
      <c r="T14" s="253"/>
      <c r="U14" s="253"/>
      <c r="V14" s="253"/>
      <c r="W14" s="253"/>
      <c r="X14" s="185"/>
      <c r="Y14" s="186"/>
      <c r="Z14" s="186"/>
      <c r="AA14" s="186"/>
      <c r="AB14" s="188"/>
      <c r="AC14" s="188"/>
      <c r="AD14" s="188"/>
      <c r="AE14" s="189"/>
      <c r="AF14" s="188"/>
    </row>
    <row r="15" spans="1:32" x14ac:dyDescent="0.25">
      <c r="A15" s="252"/>
      <c r="B15" s="253"/>
      <c r="C15" s="253"/>
      <c r="D15" s="253"/>
      <c r="E15" s="254"/>
      <c r="F15" s="51"/>
      <c r="G15" s="52"/>
      <c r="H15" s="52"/>
      <c r="I15" s="52"/>
      <c r="J15" s="52"/>
      <c r="K15" s="148"/>
      <c r="L15" s="148"/>
      <c r="M15" s="148"/>
      <c r="N15" s="149"/>
      <c r="O15" s="53"/>
      <c r="P15" s="148"/>
      <c r="Q15" s="148"/>
      <c r="R15" s="253"/>
      <c r="S15" s="253"/>
      <c r="T15" s="253"/>
      <c r="U15" s="253"/>
      <c r="V15" s="253"/>
      <c r="W15" s="253"/>
      <c r="X15" s="185"/>
      <c r="Y15" s="186"/>
      <c r="Z15" s="186"/>
      <c r="AA15" s="186"/>
      <c r="AB15" s="188"/>
      <c r="AC15" s="188"/>
      <c r="AD15" s="188"/>
      <c r="AE15" s="189"/>
      <c r="AF15" s="191"/>
    </row>
    <row r="16" spans="1:32" x14ac:dyDescent="0.25">
      <c r="A16" s="252"/>
      <c r="B16" s="253"/>
      <c r="C16" s="253"/>
      <c r="D16" s="253"/>
      <c r="E16" s="254"/>
      <c r="F16" s="51"/>
      <c r="G16" s="52"/>
      <c r="H16" s="52"/>
      <c r="I16" s="52"/>
      <c r="J16" s="52"/>
      <c r="K16" s="148"/>
      <c r="L16" s="148"/>
      <c r="M16" s="148"/>
      <c r="N16" s="148"/>
      <c r="O16" s="53"/>
      <c r="P16" s="148"/>
      <c r="Q16" s="148"/>
      <c r="R16" s="253"/>
      <c r="S16" s="253"/>
      <c r="T16" s="253"/>
      <c r="U16" s="253"/>
      <c r="V16" s="253"/>
      <c r="W16" s="253"/>
      <c r="X16" s="185"/>
      <c r="Y16" s="186"/>
      <c r="Z16" s="186"/>
      <c r="AA16" s="186"/>
      <c r="AB16" s="188"/>
      <c r="AC16" s="188"/>
      <c r="AD16" s="188"/>
      <c r="AE16" s="188"/>
      <c r="AF16" s="191"/>
    </row>
    <row r="17" spans="1:32" x14ac:dyDescent="0.25">
      <c r="A17" s="255"/>
      <c r="B17" s="256"/>
      <c r="C17" s="256"/>
      <c r="D17" s="256"/>
      <c r="E17" s="257"/>
      <c r="F17" s="51"/>
      <c r="G17" s="52"/>
      <c r="H17" s="52"/>
      <c r="I17" s="52"/>
      <c r="J17" s="52"/>
      <c r="K17" s="53"/>
      <c r="L17" s="53"/>
      <c r="M17" s="148"/>
      <c r="N17" s="148"/>
      <c r="O17" s="146" t="s">
        <v>16</v>
      </c>
      <c r="P17" s="146">
        <f>SUM(P3:P14)</f>
        <v>325332.87739800627</v>
      </c>
      <c r="Q17" s="146">
        <f>SUM(Q3:Q15)</f>
        <v>346903.93918550626</v>
      </c>
      <c r="R17" s="253"/>
      <c r="S17" s="253"/>
      <c r="T17" s="253"/>
      <c r="U17" s="253"/>
      <c r="V17" s="253"/>
      <c r="W17" s="253"/>
      <c r="X17" s="185"/>
      <c r="Y17" s="186"/>
      <c r="Z17" s="186"/>
      <c r="AA17" s="186"/>
      <c r="AB17" s="191"/>
      <c r="AC17" s="191"/>
      <c r="AD17" s="188"/>
      <c r="AE17" s="188"/>
      <c r="AF17" s="195"/>
    </row>
    <row r="18" spans="1:32" x14ac:dyDescent="0.25">
      <c r="A18" s="3"/>
      <c r="B18" s="3"/>
      <c r="C18" s="3"/>
      <c r="D18" s="3"/>
      <c r="E18" s="3"/>
      <c r="F18" s="3"/>
      <c r="G18" s="32"/>
      <c r="H18" s="32"/>
      <c r="I18" s="32"/>
      <c r="J18" s="32"/>
      <c r="K18" s="3"/>
      <c r="L18" s="3"/>
      <c r="M18" s="3"/>
      <c r="N18" s="3"/>
      <c r="O18" s="3"/>
      <c r="P18" s="3"/>
      <c r="Q18" s="6"/>
      <c r="R18" s="3"/>
      <c r="S18" s="3"/>
      <c r="T18" s="3"/>
      <c r="U18" s="3"/>
      <c r="V18" s="3"/>
      <c r="W18" s="3"/>
      <c r="X18" s="3"/>
      <c r="Y18" s="32"/>
      <c r="Z18" s="32"/>
      <c r="AA18" s="32"/>
      <c r="AB18" s="3"/>
      <c r="AC18" s="3"/>
      <c r="AD18" s="3"/>
      <c r="AE18" s="3"/>
      <c r="AF18" s="3"/>
    </row>
    <row r="19" spans="1:32" ht="17.25" customHeight="1" x14ac:dyDescent="0.25">
      <c r="A19" s="3"/>
      <c r="B19" s="3"/>
      <c r="C19" s="3"/>
      <c r="D19" s="3"/>
      <c r="E19" s="73"/>
      <c r="F19" s="74"/>
      <c r="G19" s="74"/>
      <c r="H19" s="74"/>
      <c r="I19" s="74"/>
      <c r="J19" s="74"/>
      <c r="K19" s="258" t="s">
        <v>137</v>
      </c>
      <c r="L19" s="259"/>
      <c r="M19" s="259"/>
      <c r="N19" s="259"/>
      <c r="O19" s="259"/>
      <c r="P19" s="141" t="s">
        <v>136</v>
      </c>
      <c r="Q19" s="142"/>
      <c r="R19" s="3"/>
      <c r="S19" s="3"/>
      <c r="T19" s="3"/>
      <c r="U19" s="3"/>
      <c r="V19" s="3"/>
      <c r="W19" s="73"/>
      <c r="X19" s="74"/>
      <c r="Y19" s="74"/>
      <c r="Z19" s="74"/>
      <c r="AA19" s="74"/>
      <c r="AB19" s="265"/>
      <c r="AC19" s="266"/>
      <c r="AD19" s="266"/>
      <c r="AE19" s="266"/>
      <c r="AF19" s="266"/>
    </row>
    <row r="20" spans="1:32" x14ac:dyDescent="0.25">
      <c r="A20" s="3"/>
      <c r="B20" s="3"/>
      <c r="C20" s="3"/>
      <c r="D20" s="3"/>
      <c r="E20" s="3"/>
      <c r="F20" s="74"/>
      <c r="G20" s="74"/>
      <c r="H20" s="74"/>
      <c r="I20" s="74"/>
      <c r="J20" s="74"/>
      <c r="K20" s="250" t="s">
        <v>147</v>
      </c>
      <c r="L20" s="250"/>
      <c r="M20" s="250"/>
      <c r="N20" s="250"/>
      <c r="O20" s="250"/>
      <c r="P20" s="168">
        <f>'CALCOLO LIMITI DI SPESA'!D50</f>
        <v>486527.10979999998</v>
      </c>
      <c r="Q20" s="143"/>
      <c r="R20" s="3"/>
      <c r="S20" s="3"/>
      <c r="T20" s="3"/>
      <c r="U20" s="3"/>
      <c r="V20" s="3"/>
      <c r="W20" s="3"/>
      <c r="X20" s="74"/>
      <c r="Y20" s="74"/>
      <c r="Z20" s="74"/>
      <c r="AA20" s="74"/>
      <c r="AB20" s="267"/>
      <c r="AC20" s="267"/>
      <c r="AD20" s="267"/>
      <c r="AE20" s="267"/>
      <c r="AF20" s="267"/>
    </row>
    <row r="21" spans="1:32" x14ac:dyDescent="0.25">
      <c r="K21" s="205" t="s">
        <v>202</v>
      </c>
      <c r="L21" s="205"/>
      <c r="M21" s="205"/>
      <c r="N21" s="205"/>
      <c r="O21" s="205"/>
      <c r="P21" s="173">
        <f>+P17</f>
        <v>325332.87739800627</v>
      </c>
    </row>
    <row r="22" spans="1:32" x14ac:dyDescent="0.25">
      <c r="K22" s="200" t="s">
        <v>205</v>
      </c>
      <c r="L22" s="200"/>
      <c r="M22" s="200"/>
      <c r="N22" s="200"/>
      <c r="O22" s="200"/>
      <c r="P22" s="173">
        <v>10000</v>
      </c>
    </row>
    <row r="23" spans="1:32" x14ac:dyDescent="0.25">
      <c r="K23" s="200" t="s">
        <v>151</v>
      </c>
      <c r="L23" s="200"/>
      <c r="M23" s="200"/>
      <c r="N23" s="200"/>
      <c r="O23" s="200"/>
      <c r="P23" s="173">
        <f>P20-P21-P22</f>
        <v>151194.23240199371</v>
      </c>
    </row>
    <row r="25" spans="1:32" ht="75" customHeight="1" x14ac:dyDescent="0.25">
      <c r="A25" s="38" t="s">
        <v>184</v>
      </c>
      <c r="B25" s="174" t="s">
        <v>196</v>
      </c>
      <c r="C25" s="38" t="s">
        <v>203</v>
      </c>
      <c r="D25" s="38" t="s">
        <v>200</v>
      </c>
      <c r="E25" s="38" t="s">
        <v>3</v>
      </c>
      <c r="F25" s="38" t="s">
        <v>11</v>
      </c>
      <c r="G25" s="174" t="s">
        <v>174</v>
      </c>
      <c r="H25" s="174" t="s">
        <v>231</v>
      </c>
      <c r="I25" s="174" t="s">
        <v>181</v>
      </c>
      <c r="J25" s="174" t="s">
        <v>169</v>
      </c>
      <c r="K25" s="174" t="s">
        <v>0</v>
      </c>
      <c r="L25" s="38" t="s">
        <v>192</v>
      </c>
      <c r="M25" s="38" t="s">
        <v>193</v>
      </c>
      <c r="N25" s="38" t="s">
        <v>194</v>
      </c>
      <c r="O25" s="174" t="s">
        <v>12</v>
      </c>
      <c r="P25" s="174" t="s">
        <v>182</v>
      </c>
      <c r="Q25" s="174" t="s">
        <v>227</v>
      </c>
    </row>
    <row r="26" spans="1:32" ht="38.25" customHeight="1" x14ac:dyDescent="0.25">
      <c r="A26" s="177"/>
      <c r="B26" s="179" t="s">
        <v>232</v>
      </c>
      <c r="C26" s="177"/>
      <c r="D26" s="177"/>
      <c r="E26" s="177"/>
      <c r="F26" s="177"/>
      <c r="G26" s="173"/>
      <c r="H26" s="173"/>
      <c r="I26" s="2"/>
      <c r="J26" s="173"/>
      <c r="K26" s="173"/>
      <c r="L26" s="173"/>
      <c r="M26" s="173"/>
      <c r="N26" s="173"/>
      <c r="O26" s="173"/>
      <c r="P26" s="173"/>
      <c r="Q26" s="177"/>
    </row>
    <row r="29" spans="1:32" x14ac:dyDescent="0.25">
      <c r="O29" s="196" t="s">
        <v>16</v>
      </c>
      <c r="P29" s="91">
        <v>0</v>
      </c>
      <c r="Q29" s="91">
        <v>0</v>
      </c>
    </row>
    <row r="32" spans="1:32" x14ac:dyDescent="0.25">
      <c r="K32" s="196" t="s">
        <v>138</v>
      </c>
      <c r="L32" s="196"/>
      <c r="M32" s="196"/>
      <c r="N32" s="196"/>
      <c r="P32" s="197" t="s">
        <v>136</v>
      </c>
    </row>
    <row r="33" spans="11:16" x14ac:dyDescent="0.25">
      <c r="K33" s="200" t="s">
        <v>148</v>
      </c>
      <c r="L33" s="200"/>
      <c r="M33" s="200"/>
      <c r="N33" s="200"/>
      <c r="O33" s="264"/>
      <c r="P33" s="173">
        <v>33000</v>
      </c>
    </row>
    <row r="34" spans="11:16" x14ac:dyDescent="0.25">
      <c r="K34" s="200" t="s">
        <v>233</v>
      </c>
      <c r="L34" s="200"/>
      <c r="M34" s="200"/>
      <c r="N34" s="200"/>
      <c r="O34" s="264"/>
      <c r="P34" s="173">
        <f>P29</f>
        <v>0</v>
      </c>
    </row>
    <row r="35" spans="11:16" x14ac:dyDescent="0.25">
      <c r="K35" s="200" t="s">
        <v>205</v>
      </c>
      <c r="L35" s="200"/>
      <c r="M35" s="200"/>
      <c r="N35" s="200"/>
      <c r="O35" s="264"/>
      <c r="P35" s="173">
        <v>7000</v>
      </c>
    </row>
    <row r="36" spans="11:16" x14ac:dyDescent="0.25">
      <c r="K36" s="200" t="s">
        <v>151</v>
      </c>
      <c r="L36" s="200"/>
      <c r="M36" s="200"/>
      <c r="N36" s="200"/>
      <c r="O36" s="264"/>
      <c r="P36" s="173">
        <f>P33-P34-P35</f>
        <v>26000</v>
      </c>
    </row>
  </sheetData>
  <mergeCells count="19">
    <mergeCell ref="K33:O33"/>
    <mergeCell ref="K34:O34"/>
    <mergeCell ref="K35:O35"/>
    <mergeCell ref="K36:O36"/>
    <mergeCell ref="AB19:AF19"/>
    <mergeCell ref="K20:O20"/>
    <mergeCell ref="AB20:AF20"/>
    <mergeCell ref="K21:O21"/>
    <mergeCell ref="K22:O22"/>
    <mergeCell ref="K23:O23"/>
    <mergeCell ref="A10:E17"/>
    <mergeCell ref="R10:W17"/>
    <mergeCell ref="K19:O19"/>
    <mergeCell ref="A3:A4"/>
    <mergeCell ref="R3:R4"/>
    <mergeCell ref="A5:A7"/>
    <mergeCell ref="R5:R7"/>
    <mergeCell ref="A8:A9"/>
    <mergeCell ref="R8:R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4"/>
  <sheetViews>
    <sheetView view="pageBreakPreview" zoomScale="85" zoomScaleNormal="90" zoomScaleSheetLayoutView="85" workbookViewId="0">
      <selection activeCell="D21" sqref="D21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97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2" t="s">
        <v>86</v>
      </c>
      <c r="P2" s="72" t="s">
        <v>87</v>
      </c>
    </row>
    <row r="3" spans="1:22" s="56" customFormat="1" x14ac:dyDescent="0.25">
      <c r="A3" s="93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26783.48</v>
      </c>
      <c r="J3" s="53">
        <f>+I3*8.5/100</f>
        <v>2276.5958000000001</v>
      </c>
      <c r="K3" s="53">
        <f>+I3*23.8/100</f>
        <v>6374.4682400000002</v>
      </c>
      <c r="L3" s="53">
        <f>+I3*2.88/100</f>
        <v>771.36422399999992</v>
      </c>
      <c r="M3" s="71">
        <f>(I3*4.75/1000)+(1%*(I3*4.75/1000))</f>
        <v>128.4937453</v>
      </c>
      <c r="N3" s="54">
        <f>+G3/36</f>
        <v>1</v>
      </c>
      <c r="O3" s="54">
        <f>+(I3+K3+L3+M3)*N3</f>
        <v>34057.806209299997</v>
      </c>
      <c r="P3" s="54">
        <f>+(I3+K3+L3+M3+J3)*N3</f>
        <v>36334.4020093</v>
      </c>
    </row>
    <row r="4" spans="1:22" s="56" customFormat="1" x14ac:dyDescent="0.25">
      <c r="A4" s="247" t="s">
        <v>55</v>
      </c>
      <c r="B4" s="49" t="s">
        <v>101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26783.48</v>
      </c>
      <c r="J4" s="53">
        <f t="shared" ref="J4:J9" si="0">+I4*8.5/100</f>
        <v>2276.5958000000001</v>
      </c>
      <c r="K4" s="53">
        <f t="shared" ref="K4:K9" si="1">+I4*23.8/100</f>
        <v>6374.4682400000002</v>
      </c>
      <c r="L4" s="53">
        <f t="shared" ref="L4:L7" si="2">+I4*2.88/100</f>
        <v>771.36422399999992</v>
      </c>
      <c r="M4" s="71">
        <f t="shared" ref="M4:M9" si="3">(I4*4.75/1000)+(1%*(I4*4.75/1000))</f>
        <v>128.4937453</v>
      </c>
      <c r="N4" s="54">
        <f t="shared" ref="N4:N9" si="4">+G4/36</f>
        <v>1</v>
      </c>
      <c r="O4" s="54">
        <f t="shared" ref="O4:O10" si="5">+(I4+K4+L4+M4)*N4</f>
        <v>34057.806209299997</v>
      </c>
      <c r="P4" s="54">
        <f t="shared" ref="P4:P14" si="6">+(I4+K4+L4+M4+J4)*N4</f>
        <v>36334.4020093</v>
      </c>
    </row>
    <row r="5" spans="1:22" s="56" customFormat="1" x14ac:dyDescent="0.25">
      <c r="A5" s="249"/>
      <c r="B5" s="49" t="s">
        <v>119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0</v>
      </c>
      <c r="J5" s="53">
        <f t="shared" si="0"/>
        <v>0</v>
      </c>
      <c r="K5" s="53">
        <f t="shared" si="1"/>
        <v>0</v>
      </c>
      <c r="L5" s="53">
        <f t="shared" si="2"/>
        <v>0</v>
      </c>
      <c r="M5" s="71">
        <f t="shared" si="3"/>
        <v>0</v>
      </c>
      <c r="N5" s="54">
        <f t="shared" si="4"/>
        <v>1</v>
      </c>
      <c r="O5" s="54">
        <f t="shared" si="5"/>
        <v>0</v>
      </c>
      <c r="P5" s="54">
        <f t="shared" si="6"/>
        <v>0</v>
      </c>
    </row>
    <row r="6" spans="1:22" s="56" customFormat="1" x14ac:dyDescent="0.25">
      <c r="A6" s="248"/>
      <c r="B6" s="49" t="s">
        <v>100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26783.48</v>
      </c>
      <c r="J6" s="53">
        <f t="shared" si="0"/>
        <v>2276.5958000000001</v>
      </c>
      <c r="K6" s="53">
        <f t="shared" si="1"/>
        <v>6374.4682400000002</v>
      </c>
      <c r="L6" s="53">
        <f t="shared" si="2"/>
        <v>771.36422399999992</v>
      </c>
      <c r="M6" s="71">
        <f t="shared" si="3"/>
        <v>128.4937453</v>
      </c>
      <c r="N6" s="54">
        <f t="shared" si="4"/>
        <v>0.5</v>
      </c>
      <c r="O6" s="54">
        <f t="shared" si="5"/>
        <v>17028.903104649999</v>
      </c>
      <c r="P6" s="54">
        <f t="shared" si="6"/>
        <v>18167.20100465</v>
      </c>
      <c r="V6" s="60"/>
    </row>
    <row r="7" spans="1:22" s="56" customFormat="1" x14ac:dyDescent="0.25">
      <c r="A7" s="247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26783.48</v>
      </c>
      <c r="J7" s="53">
        <f>+I7*8.5/100</f>
        <v>2276.5958000000001</v>
      </c>
      <c r="K7" s="53">
        <f t="shared" si="1"/>
        <v>6374.4682400000002</v>
      </c>
      <c r="L7" s="53">
        <f t="shared" si="2"/>
        <v>771.36422399999992</v>
      </c>
      <c r="M7" s="71">
        <f t="shared" si="3"/>
        <v>128.4937453</v>
      </c>
      <c r="N7" s="54">
        <f t="shared" si="4"/>
        <v>0.83333333333333337</v>
      </c>
      <c r="O7" s="54">
        <f t="shared" si="5"/>
        <v>28381.505174416667</v>
      </c>
      <c r="P7" s="54">
        <f t="shared" si="6"/>
        <v>30278.668341083336</v>
      </c>
      <c r="V7" s="60"/>
    </row>
    <row r="8" spans="1:22" s="56" customFormat="1" ht="25.5" customHeight="1" x14ac:dyDescent="0.25">
      <c r="A8" s="249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0</v>
      </c>
      <c r="J8" s="53">
        <f t="shared" si="0"/>
        <v>0</v>
      </c>
      <c r="K8" s="53">
        <f t="shared" si="1"/>
        <v>0</v>
      </c>
      <c r="L8" s="53">
        <f>+(TABELLARI!D11+TABELLARI!E11+TABELLARI!I11)*13*2.88/100</f>
        <v>646.80969599999992</v>
      </c>
      <c r="M8" s="71">
        <f t="shared" si="3"/>
        <v>0</v>
      </c>
      <c r="N8" s="54">
        <f t="shared" si="4"/>
        <v>1</v>
      </c>
      <c r="O8" s="54">
        <f t="shared" si="5"/>
        <v>646.80969599999992</v>
      </c>
      <c r="P8" s="54">
        <f t="shared" si="6"/>
        <v>646.80969599999992</v>
      </c>
      <c r="V8" s="60"/>
    </row>
    <row r="9" spans="1:22" s="56" customFormat="1" x14ac:dyDescent="0.25">
      <c r="A9" s="248"/>
      <c r="B9" s="49" t="s">
        <v>120</v>
      </c>
      <c r="C9" s="49" t="s">
        <v>21</v>
      </c>
      <c r="D9" s="49"/>
      <c r="E9" s="50" t="s">
        <v>24</v>
      </c>
      <c r="F9" s="50" t="s">
        <v>112</v>
      </c>
      <c r="G9" s="50">
        <v>36</v>
      </c>
      <c r="H9" s="51" t="s">
        <v>113</v>
      </c>
      <c r="I9" s="52">
        <f>+TABELLARI!K30</f>
        <v>0</v>
      </c>
      <c r="J9" s="53">
        <f t="shared" si="0"/>
        <v>0</v>
      </c>
      <c r="K9" s="53">
        <f t="shared" si="1"/>
        <v>0</v>
      </c>
      <c r="L9" s="53">
        <f>+(TABELLARI!D12+TABELLARI!E12+TABELLARI!I12)*13*2.88/100</f>
        <v>659.50185599999986</v>
      </c>
      <c r="M9" s="71">
        <f t="shared" si="3"/>
        <v>0</v>
      </c>
      <c r="N9" s="54">
        <f t="shared" si="4"/>
        <v>1</v>
      </c>
      <c r="O9" s="54">
        <f t="shared" si="5"/>
        <v>659.50185599999986</v>
      </c>
      <c r="P9" s="54">
        <f t="shared" si="6"/>
        <v>659.50185599999986</v>
      </c>
    </row>
    <row r="10" spans="1:22" s="56" customFormat="1" ht="22.5" x14ac:dyDescent="0.25">
      <c r="A10" s="252"/>
      <c r="B10" s="253"/>
      <c r="C10" s="253"/>
      <c r="D10" s="253"/>
      <c r="E10" s="253"/>
      <c r="F10" s="253"/>
      <c r="G10" s="254"/>
      <c r="H10" s="51" t="s">
        <v>96</v>
      </c>
      <c r="I10" s="52">
        <f>-TABELLARI!K64*2-TABELLARI!K64*0.83-TABELLARI!K64*0.5-TABELLARI!K59*2-TABELLARI!K53</f>
        <v>11081.212199999982</v>
      </c>
      <c r="J10" s="53">
        <f>+I10*8.5/100</f>
        <v>941.90303699999845</v>
      </c>
      <c r="K10" s="53">
        <f>+I10*23.8/100</f>
        <v>2637.3285035999957</v>
      </c>
      <c r="L10" s="53">
        <f>+I10*2.88/100</f>
        <v>319.1389113599995</v>
      </c>
      <c r="M10" s="71">
        <f>(I10*4.75/1000)+(1%*(I10*4.75/1000))</f>
        <v>53.162115529499914</v>
      </c>
      <c r="N10" s="54">
        <v>1</v>
      </c>
      <c r="O10" s="54">
        <f t="shared" si="5"/>
        <v>14090.841730489477</v>
      </c>
      <c r="P10" s="54">
        <f>+(I10+K10+L10+M10+J10)*N10</f>
        <v>15032.744767489476</v>
      </c>
    </row>
    <row r="11" spans="1:22" s="56" customFormat="1" ht="22.5" x14ac:dyDescent="0.25">
      <c r="A11" s="252"/>
      <c r="B11" s="253"/>
      <c r="C11" s="253"/>
      <c r="D11" s="253"/>
      <c r="E11" s="253"/>
      <c r="F11" s="253"/>
      <c r="G11" s="254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1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252"/>
      <c r="B12" s="253"/>
      <c r="C12" s="253"/>
      <c r="D12" s="253"/>
      <c r="E12" s="253"/>
      <c r="F12" s="253"/>
      <c r="G12" s="254"/>
      <c r="H12" s="51" t="s">
        <v>88</v>
      </c>
      <c r="I12" s="52">
        <v>18975</v>
      </c>
      <c r="J12" s="53">
        <v>1275</v>
      </c>
      <c r="K12" s="53">
        <v>3570</v>
      </c>
      <c r="L12" s="53">
        <v>345.5</v>
      </c>
      <c r="M12" s="71">
        <v>75.75</v>
      </c>
      <c r="N12" s="53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252"/>
      <c r="B13" s="253"/>
      <c r="C13" s="253"/>
      <c r="D13" s="253"/>
      <c r="E13" s="253"/>
      <c r="F13" s="253"/>
      <c r="G13" s="254"/>
      <c r="H13" s="51" t="s">
        <v>121</v>
      </c>
      <c r="I13" s="52">
        <v>11000</v>
      </c>
      <c r="J13" s="53">
        <v>751.69</v>
      </c>
      <c r="K13" s="53">
        <v>2104.7199999999998</v>
      </c>
      <c r="L13" s="53"/>
      <c r="M13" s="71"/>
      <c r="N13" s="53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252"/>
      <c r="B14" s="253"/>
      <c r="C14" s="253"/>
      <c r="D14" s="253"/>
      <c r="E14" s="253"/>
      <c r="F14" s="253"/>
      <c r="G14" s="254"/>
      <c r="H14" s="51" t="s">
        <v>66</v>
      </c>
      <c r="I14" s="52">
        <v>3400</v>
      </c>
      <c r="J14" s="53"/>
      <c r="K14" s="53"/>
      <c r="L14" s="53"/>
      <c r="M14" s="71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252"/>
      <c r="B15" s="253"/>
      <c r="C15" s="253"/>
      <c r="D15" s="253"/>
      <c r="E15" s="253"/>
      <c r="F15" s="253"/>
      <c r="G15" s="254"/>
      <c r="H15" s="51"/>
      <c r="I15" s="52"/>
      <c r="J15" s="53"/>
      <c r="K15" s="53"/>
      <c r="L15" s="53"/>
      <c r="M15" s="71"/>
      <c r="N15" s="53"/>
      <c r="O15" s="53"/>
      <c r="P15" s="53"/>
    </row>
    <row r="16" spans="1:22" s="56" customFormat="1" x14ac:dyDescent="0.25">
      <c r="A16" s="252"/>
      <c r="B16" s="253"/>
      <c r="C16" s="253"/>
      <c r="D16" s="253"/>
      <c r="E16" s="253"/>
      <c r="F16" s="253"/>
      <c r="G16" s="254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255"/>
      <c r="B17" s="256"/>
      <c r="C17" s="256"/>
      <c r="D17" s="256"/>
      <c r="E17" s="256"/>
      <c r="F17" s="256"/>
      <c r="G17" s="257"/>
      <c r="H17" s="51"/>
      <c r="I17" s="52"/>
      <c r="J17" s="53"/>
      <c r="K17" s="53"/>
      <c r="L17" s="53"/>
      <c r="M17" s="53"/>
      <c r="N17" s="78" t="s">
        <v>89</v>
      </c>
      <c r="O17" s="55">
        <f>SUM(O3:O15)</f>
        <v>195085.29316415614</v>
      </c>
      <c r="P17" s="55">
        <f>SUM(P3:P15)</f>
        <v>207427.53886782282</v>
      </c>
    </row>
    <row r="18" spans="1:16" ht="18.95" customHeight="1" x14ac:dyDescent="0.25"/>
    <row r="19" spans="1:16" ht="30" x14ac:dyDescent="0.25">
      <c r="G19" s="73"/>
      <c r="H19" s="74"/>
      <c r="I19" s="74"/>
      <c r="J19" s="74"/>
      <c r="K19" s="74"/>
      <c r="L19" s="74"/>
      <c r="M19" s="74"/>
      <c r="N19" s="74"/>
      <c r="O19" s="77" t="s">
        <v>93</v>
      </c>
      <c r="P19" s="77" t="s">
        <v>122</v>
      </c>
    </row>
    <row r="20" spans="1:16" ht="15" customHeight="1" x14ac:dyDescent="0.25">
      <c r="E20" s="59"/>
      <c r="H20" s="74"/>
      <c r="I20" s="74"/>
      <c r="J20" s="267" t="s">
        <v>90</v>
      </c>
      <c r="K20" s="267"/>
      <c r="L20" s="267"/>
      <c r="M20" s="267"/>
      <c r="N20" s="272"/>
      <c r="O20" s="75">
        <f>+'CALCOLO LIMITI DI SPESA'!D53</f>
        <v>0</v>
      </c>
      <c r="P20" s="75">
        <f>+'CALCOLO LIMITI DI SPESA'!E53</f>
        <v>0</v>
      </c>
    </row>
    <row r="21" spans="1:16" ht="15" customHeight="1" x14ac:dyDescent="0.25">
      <c r="H21" s="74"/>
      <c r="I21" s="74"/>
      <c r="J21" s="267" t="s">
        <v>91</v>
      </c>
      <c r="K21" s="267"/>
      <c r="L21" s="267"/>
      <c r="M21" s="267"/>
      <c r="N21" s="272"/>
      <c r="O21" s="75">
        <f>+O17</f>
        <v>195085.29316415614</v>
      </c>
      <c r="P21" s="75">
        <f>+O17</f>
        <v>195085.29316415614</v>
      </c>
    </row>
    <row r="22" spans="1:16" x14ac:dyDescent="0.25">
      <c r="E22" s="58"/>
      <c r="H22" s="74"/>
      <c r="I22" s="74"/>
      <c r="J22" s="268"/>
      <c r="K22" s="268"/>
      <c r="L22" s="268"/>
      <c r="M22" s="268"/>
      <c r="N22" s="269"/>
      <c r="O22" s="75"/>
      <c r="P22" s="75"/>
    </row>
    <row r="23" spans="1:16" ht="15" customHeight="1" x14ac:dyDescent="0.25">
      <c r="H23" s="74"/>
      <c r="I23" s="74"/>
      <c r="J23" s="270" t="s">
        <v>92</v>
      </c>
      <c r="K23" s="270"/>
      <c r="L23" s="270"/>
      <c r="M23" s="270"/>
      <c r="N23" s="271"/>
      <c r="O23" s="76">
        <f>O20-O21</f>
        <v>-195085.29316415614</v>
      </c>
      <c r="P23" s="76">
        <f>P20-P21</f>
        <v>-195085.29316415614</v>
      </c>
    </row>
    <row r="24" spans="1:16" x14ac:dyDescent="0.25">
      <c r="H24" s="74"/>
      <c r="I24" s="74"/>
      <c r="J24" s="74"/>
      <c r="K24" s="74"/>
      <c r="L24" s="74"/>
      <c r="P24" s="3"/>
    </row>
  </sheetData>
  <mergeCells count="7">
    <mergeCell ref="J22:N22"/>
    <mergeCell ref="J23:N23"/>
    <mergeCell ref="A4:A6"/>
    <mergeCell ref="A7:A9"/>
    <mergeCell ref="A10:G17"/>
    <mergeCell ref="J20:N20"/>
    <mergeCell ref="J21:N21"/>
  </mergeCells>
  <conditionalFormatting sqref="O23:P23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paperSize="8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0"/>
  <sheetViews>
    <sheetView view="pageBreakPreview" zoomScale="85" zoomScaleNormal="90" zoomScaleSheetLayoutView="85" workbookViewId="0">
      <selection activeCell="N25" sqref="N25"/>
    </sheetView>
  </sheetViews>
  <sheetFormatPr defaultColWidth="8.85546875" defaultRowHeight="15" x14ac:dyDescent="0.25"/>
  <cols>
    <col min="1" max="1" width="35.7109375" style="3" customWidth="1"/>
    <col min="2" max="2" width="44.28515625" style="3" customWidth="1"/>
    <col min="3" max="3" width="25.42578125" style="3" customWidth="1"/>
    <col min="4" max="4" width="14.42578125" style="3" bestFit="1" customWidth="1"/>
    <col min="5" max="5" width="11.140625" style="3" customWidth="1"/>
    <col min="6" max="6" width="12.7109375" style="3" customWidth="1"/>
    <col min="7" max="7" width="22" style="3" customWidth="1"/>
    <col min="8" max="8" width="14.140625" style="3" customWidth="1"/>
    <col min="9" max="9" width="10.42578125" style="3" customWidth="1"/>
    <col min="10" max="10" width="11.28515625" style="3" customWidth="1"/>
    <col min="11" max="11" width="11" style="3" customWidth="1"/>
    <col min="12" max="12" width="10.42578125" style="3" customWidth="1"/>
    <col min="13" max="13" width="11" style="3" customWidth="1"/>
    <col min="14" max="14" width="20.7109375" style="3" customWidth="1"/>
    <col min="15" max="15" width="18.42578125" style="6" customWidth="1"/>
    <col min="16" max="16" width="10" style="3" bestFit="1" customWidth="1"/>
    <col min="17" max="17" width="4.7109375" style="3" customWidth="1"/>
    <col min="18" max="18" width="8.85546875" style="3"/>
    <col min="19" max="21" width="10.140625" style="3" bestFit="1" customWidth="1"/>
    <col min="22" max="16384" width="8.85546875" style="3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60" x14ac:dyDescent="0.2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2" t="s">
        <v>86</v>
      </c>
      <c r="O2" s="72" t="s">
        <v>87</v>
      </c>
    </row>
    <row r="3" spans="1:21" s="56" customFormat="1" x14ac:dyDescent="0.25">
      <c r="A3" s="247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+(TABELLARI!D19+TABELLARI!E19+TABELLARI!F19+TABELLARI!I19)*13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+(TABELLARI!D19+TABELLARI!E19+TABELLARI!I19)*2.88/100*13</f>
        <v>823.05849599999988</v>
      </c>
      <c r="L3" s="71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25">
      <c r="A4" s="249"/>
      <c r="B4" s="49" t="s">
        <v>57</v>
      </c>
      <c r="C4" s="49" t="s">
        <v>5</v>
      </c>
      <c r="D4" s="50" t="s">
        <v>24</v>
      </c>
      <c r="E4" s="50" t="s">
        <v>10</v>
      </c>
      <c r="F4" s="79">
        <v>36</v>
      </c>
      <c r="G4" s="51" t="s">
        <v>7</v>
      </c>
      <c r="H4" s="52">
        <f>+(TABELLARI!D16+TABELLARI!E16+TABELLARI!F16+TABELLARI!I16)*11</f>
        <v>21937.3</v>
      </c>
      <c r="I4" s="53">
        <f>+H4*8.5/100</f>
        <v>1864.6704999999999</v>
      </c>
      <c r="J4" s="53">
        <f>+H4*23.8/100</f>
        <v>5221.0774000000001</v>
      </c>
      <c r="K4" s="53">
        <f>+(TABELLARI!D16+TABELLARI!E16+TABELLARI!I16)*13*2.88/100</f>
        <v>740.30111999999997</v>
      </c>
      <c r="L4" s="71">
        <f>(H4*4.75/1000)+(1%*(H4*4.75/1000))</f>
        <v>105.24419675</v>
      </c>
      <c r="M4" s="80">
        <f t="shared" ref="M4:M11" si="0">+F4/36</f>
        <v>1</v>
      </c>
      <c r="N4" s="54">
        <f>+(H4+J4+K4+L4)*M4</f>
        <v>28003.922716749999</v>
      </c>
      <c r="O4" s="54">
        <f>+(H4+J4+K4+L4+I4)*M4</f>
        <v>29868.59321675</v>
      </c>
    </row>
    <row r="5" spans="1:21" s="56" customFormat="1" x14ac:dyDescent="0.25">
      <c r="A5" s="247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+(TABELLARI!D18+TABELLARI!E18+TABELLARI!F18+TABELLARI!I18)*13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(TABELLARI!D18+TABELLARI!E18+TABELLARI!I18)*13*2.88/100</f>
        <v>752.59267199999999</v>
      </c>
      <c r="L5" s="71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25">
      <c r="A6" s="249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(TABELLARI!D11+TABELLARI!E11+TABELLARI!F11+TABELLARI!I11)*13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+(TABELLARI!D11+TABELLARI!E11+TABELLARI!I11)*13*2.88/100</f>
        <v>646.80969599999992</v>
      </c>
      <c r="L6" s="71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25">
      <c r="A7" s="248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(TABELLARI!D11+TABELLARI!E11+TABELLARI!F11+TABELLARI!I11)*13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+(TABELLARI!D11+TABELLARI!E11+TABELLARI!I11)*13*2.88/100</f>
        <v>646.80969599999992</v>
      </c>
      <c r="L7" s="71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25">
      <c r="A8" s="247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+(TABELLARI!D16+TABELLARI!E16+TABELLARI!F16+TABELLARI!I16)*13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+(TABELLARI!D16+TABELLARI!E16+TABELLARI!I16)*13*2.88/100</f>
        <v>740.30111999999997</v>
      </c>
      <c r="L8" s="71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25">
      <c r="A9" s="249"/>
      <c r="B9" s="81" t="s">
        <v>60</v>
      </c>
      <c r="C9" s="82" t="s">
        <v>94</v>
      </c>
      <c r="D9" s="83">
        <v>45107</v>
      </c>
      <c r="E9" s="84" t="s">
        <v>10</v>
      </c>
      <c r="F9" s="84">
        <v>36</v>
      </c>
      <c r="G9" s="85" t="s">
        <v>7</v>
      </c>
      <c r="H9" s="86">
        <f>+(TABELLARI!D16+TABELLARI!E16+TABELLARI!F16+TABELLARI!I16)*6.5</f>
        <v>12962.949999999999</v>
      </c>
      <c r="I9" s="87">
        <f>+H9*8.5/100</f>
        <v>1101.8507500000001</v>
      </c>
      <c r="J9" s="87">
        <f t="shared" si="2"/>
        <v>3085.1820999999995</v>
      </c>
      <c r="K9" s="87">
        <f>+(TABELLARI!D18+TABELLARI!E18+TABELLARI!I18)*13*2.88/100</f>
        <v>752.59267199999999</v>
      </c>
      <c r="L9" s="88">
        <f t="shared" si="3"/>
        <v>62.189752624999997</v>
      </c>
      <c r="M9" s="89">
        <f t="shared" si="0"/>
        <v>1</v>
      </c>
      <c r="N9" s="89">
        <f t="shared" si="4"/>
        <v>16862.914524624997</v>
      </c>
      <c r="O9" s="89">
        <f t="shared" si="5"/>
        <v>17964.765274624999</v>
      </c>
      <c r="U9" s="60"/>
    </row>
    <row r="10" spans="1:21" s="56" customFormat="1" ht="25.5" customHeight="1" x14ac:dyDescent="0.25">
      <c r="A10" s="249"/>
      <c r="B10" s="49" t="s">
        <v>83</v>
      </c>
      <c r="C10" s="49" t="s">
        <v>5</v>
      </c>
      <c r="D10" s="50" t="s">
        <v>24</v>
      </c>
      <c r="E10" s="50" t="s">
        <v>13</v>
      </c>
      <c r="F10" s="79">
        <v>30</v>
      </c>
      <c r="G10" s="51" t="s">
        <v>6</v>
      </c>
      <c r="H10" s="52">
        <f>(TABELLARI!D11+TABELLARI!E11+TABELLARI!F11+TABELLARI!I11)*13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+(TABELLARI!D11+TABELLARI!E11+TABELLARI!I11)*13*2.88/100</f>
        <v>646.80969599999992</v>
      </c>
      <c r="L10" s="71">
        <f t="shared" si="3"/>
        <v>109.17992182499999</v>
      </c>
      <c r="M10" s="80">
        <f t="shared" si="0"/>
        <v>0.83333333333333337</v>
      </c>
      <c r="N10" s="54">
        <f t="shared" si="4"/>
        <v>24108.3208981875</v>
      </c>
      <c r="O10" s="54">
        <f t="shared" si="5"/>
        <v>25720.3225231875</v>
      </c>
      <c r="U10" s="60"/>
    </row>
    <row r="11" spans="1:21" s="56" customFormat="1" ht="35.25" customHeight="1" x14ac:dyDescent="0.25">
      <c r="A11" s="249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+(TABELLARI!D8+TABELLARI!E8+TABELLARI!F8+TABELLARI!I8)*13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+(TABELLARI!D8+TABELLARI!E8+TABELLARI!I8)*13*2.88/100</f>
        <v>616.64428799999996</v>
      </c>
      <c r="L11" s="71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25">
      <c r="A12" s="248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1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33.75" x14ac:dyDescent="0.25">
      <c r="A13" s="273"/>
      <c r="B13" s="274"/>
      <c r="C13" s="274"/>
      <c r="D13" s="274"/>
      <c r="E13" s="274"/>
      <c r="F13" s="275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25">
      <c r="A14" s="252"/>
      <c r="B14" s="253"/>
      <c r="C14" s="253"/>
      <c r="D14" s="253"/>
      <c r="E14" s="253"/>
      <c r="F14" s="254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25">
      <c r="A15" s="252"/>
      <c r="B15" s="253"/>
      <c r="C15" s="253"/>
      <c r="D15" s="253"/>
      <c r="E15" s="253"/>
      <c r="F15" s="254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ht="22.5" x14ac:dyDescent="0.25">
      <c r="A16" s="252"/>
      <c r="B16" s="253"/>
      <c r="C16" s="253"/>
      <c r="D16" s="253"/>
      <c r="E16" s="253"/>
      <c r="F16" s="254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25">
      <c r="A17" s="252"/>
      <c r="B17" s="253"/>
      <c r="C17" s="253"/>
      <c r="D17" s="253"/>
      <c r="E17" s="253"/>
      <c r="F17" s="254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25">
      <c r="A18" s="252"/>
      <c r="B18" s="253"/>
      <c r="C18" s="253"/>
      <c r="D18" s="253"/>
      <c r="E18" s="253"/>
      <c r="F18" s="254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25">
      <c r="A19" s="255"/>
      <c r="B19" s="256"/>
      <c r="C19" s="256"/>
      <c r="D19" s="256"/>
      <c r="E19" s="256"/>
      <c r="F19" s="257"/>
      <c r="G19" s="51"/>
      <c r="H19" s="52"/>
      <c r="I19" s="53"/>
      <c r="J19" s="53"/>
      <c r="K19" s="53"/>
      <c r="L19" s="53"/>
      <c r="M19" s="78" t="s">
        <v>89</v>
      </c>
      <c r="N19" s="55">
        <f>SUM(N3:N17)</f>
        <v>305522.516377625</v>
      </c>
      <c r="O19" s="55">
        <f>SUM(O3:O17)</f>
        <v>323757.49512762501</v>
      </c>
    </row>
    <row r="20" spans="1:18" ht="18.95" customHeight="1" x14ac:dyDescent="0.25"/>
    <row r="21" spans="1:18" x14ac:dyDescent="0.25">
      <c r="F21" s="73"/>
      <c r="G21" s="74"/>
      <c r="H21" s="74"/>
      <c r="I21" s="74"/>
      <c r="J21" s="74"/>
      <c r="K21" s="74"/>
      <c r="L21" s="74"/>
      <c r="M21" s="74"/>
      <c r="N21" s="77" t="s">
        <v>93</v>
      </c>
      <c r="O21" s="3"/>
    </row>
    <row r="22" spans="1:18" ht="15" customHeight="1" x14ac:dyDescent="0.25">
      <c r="D22" s="59"/>
      <c r="G22" s="74"/>
      <c r="H22" s="74"/>
      <c r="I22" s="267" t="s">
        <v>90</v>
      </c>
      <c r="J22" s="267"/>
      <c r="K22" s="267"/>
      <c r="L22" s="267"/>
      <c r="M22" s="272"/>
      <c r="N22" s="75">
        <f>+'CALCOLO LIMITI DI SPESA'!D53</f>
        <v>0</v>
      </c>
      <c r="O22" s="3"/>
    </row>
    <row r="23" spans="1:18" ht="15" customHeight="1" x14ac:dyDescent="0.25">
      <c r="G23" s="74"/>
      <c r="H23" s="74"/>
      <c r="I23" s="267" t="s">
        <v>91</v>
      </c>
      <c r="J23" s="267"/>
      <c r="K23" s="267"/>
      <c r="L23" s="267"/>
      <c r="M23" s="272"/>
      <c r="N23" s="75">
        <f>+N19</f>
        <v>305522.516377625</v>
      </c>
      <c r="O23" s="3"/>
    </row>
    <row r="24" spans="1:18" x14ac:dyDescent="0.25">
      <c r="D24" s="58"/>
      <c r="G24" s="74"/>
      <c r="H24" s="74"/>
      <c r="I24" s="268"/>
      <c r="J24" s="268"/>
      <c r="K24" s="268"/>
      <c r="L24" s="268"/>
      <c r="M24" s="269"/>
      <c r="N24" s="75"/>
      <c r="O24" s="3"/>
    </row>
    <row r="25" spans="1:18" ht="15" customHeight="1" x14ac:dyDescent="0.25">
      <c r="G25" s="74"/>
      <c r="H25" s="74"/>
      <c r="I25" s="270" t="s">
        <v>92</v>
      </c>
      <c r="J25" s="270"/>
      <c r="K25" s="270"/>
      <c r="L25" s="270"/>
      <c r="M25" s="271"/>
      <c r="N25" s="76">
        <f>N22-N23</f>
        <v>-305522.516377625</v>
      </c>
      <c r="O25" s="3"/>
    </row>
    <row r="26" spans="1:18" x14ac:dyDescent="0.25">
      <c r="G26" s="74"/>
      <c r="H26" s="74"/>
      <c r="I26" s="74"/>
      <c r="J26" s="74"/>
      <c r="K26" s="74"/>
      <c r="O26" s="3"/>
    </row>
    <row r="27" spans="1:18" x14ac:dyDescent="0.25">
      <c r="G27" s="74"/>
      <c r="H27" s="74"/>
      <c r="I27" s="74"/>
      <c r="J27" s="74"/>
      <c r="K27" s="74"/>
      <c r="O27" s="3"/>
    </row>
    <row r="28" spans="1:18" x14ac:dyDescent="0.25">
      <c r="G28" s="74"/>
      <c r="H28" s="74"/>
      <c r="I28" s="74"/>
      <c r="J28" s="74"/>
      <c r="K28" s="74"/>
    </row>
    <row r="29" spans="1:18" x14ac:dyDescent="0.25">
      <c r="G29" s="74"/>
      <c r="H29" s="74"/>
      <c r="I29" s="74"/>
      <c r="J29" s="74"/>
      <c r="K29" s="74"/>
      <c r="Q29" s="33"/>
      <c r="R29" s="33">
        <f t="shared" ref="R29" si="7">+R24+R25+R27+R26</f>
        <v>0</v>
      </c>
    </row>
    <row r="30" spans="1:18" x14ac:dyDescent="0.25">
      <c r="G30" s="74"/>
      <c r="H30" s="74"/>
      <c r="I30" s="74"/>
      <c r="J30" s="74"/>
      <c r="K30" s="74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paperSize="8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0"/>
  <sheetViews>
    <sheetView view="pageBreakPreview" topLeftCell="B1" zoomScale="85" zoomScaleNormal="90" zoomScaleSheetLayoutView="85" workbookViewId="0">
      <selection activeCell="N25" sqref="N25"/>
    </sheetView>
  </sheetViews>
  <sheetFormatPr defaultColWidth="8.85546875" defaultRowHeight="15" x14ac:dyDescent="0.25"/>
  <cols>
    <col min="1" max="1" width="35.7109375" style="3" customWidth="1"/>
    <col min="2" max="2" width="44.28515625" style="3" customWidth="1"/>
    <col min="3" max="3" width="25.42578125" style="3" customWidth="1"/>
    <col min="4" max="4" width="14.42578125" style="3" bestFit="1" customWidth="1"/>
    <col min="5" max="5" width="11.140625" style="3" customWidth="1"/>
    <col min="6" max="6" width="12.7109375" style="3" customWidth="1"/>
    <col min="7" max="7" width="22" style="3" customWidth="1"/>
    <col min="8" max="8" width="14.140625" style="3" customWidth="1"/>
    <col min="9" max="9" width="10.42578125" style="3" customWidth="1"/>
    <col min="10" max="10" width="11.28515625" style="3" customWidth="1"/>
    <col min="11" max="11" width="11" style="3" customWidth="1"/>
    <col min="12" max="12" width="10.42578125" style="3" customWidth="1"/>
    <col min="13" max="13" width="11" style="3" customWidth="1"/>
    <col min="14" max="14" width="20.7109375" style="3" customWidth="1"/>
    <col min="15" max="15" width="18.42578125" style="6" customWidth="1"/>
    <col min="16" max="16" width="10" style="3" bestFit="1" customWidth="1"/>
    <col min="17" max="17" width="4.7109375" style="3" customWidth="1"/>
    <col min="18" max="18" width="8.85546875" style="3"/>
    <col min="19" max="21" width="10.140625" style="3" bestFit="1" customWidth="1"/>
    <col min="22" max="16384" width="8.85546875" style="3"/>
  </cols>
  <sheetData>
    <row r="1" spans="1:2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21" s="48" customFormat="1" ht="60" x14ac:dyDescent="0.25">
      <c r="A2" s="45" t="s">
        <v>53</v>
      </c>
      <c r="B2" s="45" t="s">
        <v>14</v>
      </c>
      <c r="C2" s="45" t="s">
        <v>20</v>
      </c>
      <c r="D2" s="45" t="s">
        <v>23</v>
      </c>
      <c r="E2" s="45" t="s">
        <v>15</v>
      </c>
      <c r="F2" s="45" t="s">
        <v>3</v>
      </c>
      <c r="G2" s="46" t="s">
        <v>11</v>
      </c>
      <c r="H2" s="46" t="s">
        <v>84</v>
      </c>
      <c r="I2" s="47" t="s">
        <v>0</v>
      </c>
      <c r="J2" s="47" t="s">
        <v>2</v>
      </c>
      <c r="K2" s="47" t="s">
        <v>85</v>
      </c>
      <c r="L2" s="47" t="s">
        <v>1</v>
      </c>
      <c r="M2" s="47" t="s">
        <v>12</v>
      </c>
      <c r="N2" s="72" t="s">
        <v>86</v>
      </c>
      <c r="O2" s="72" t="s">
        <v>87</v>
      </c>
    </row>
    <row r="3" spans="1:21" s="56" customFormat="1" x14ac:dyDescent="0.25">
      <c r="A3" s="247" t="s">
        <v>54</v>
      </c>
      <c r="B3" s="49" t="s">
        <v>8</v>
      </c>
      <c r="C3" s="49" t="s">
        <v>21</v>
      </c>
      <c r="D3" s="50" t="s">
        <v>24</v>
      </c>
      <c r="E3" s="50" t="s">
        <v>10</v>
      </c>
      <c r="F3" s="50">
        <v>36</v>
      </c>
      <c r="G3" s="51" t="s">
        <v>63</v>
      </c>
      <c r="H3" s="52">
        <f>+(TABELLARI!D19+TABELLARI!E19+TABELLARI!F19+TABELLARI!I19)*13</f>
        <v>28695.419999999995</v>
      </c>
      <c r="I3" s="53">
        <f>+H3*8.5/100</f>
        <v>2439.1106999999993</v>
      </c>
      <c r="J3" s="53">
        <f>+H3*23.8/100</f>
        <v>6829.5099599999994</v>
      </c>
      <c r="K3" s="53">
        <f>+(TABELLARI!D19+TABELLARI!E19+TABELLARI!I19)*2.88/100*13</f>
        <v>823.05849599999988</v>
      </c>
      <c r="L3" s="71">
        <f>(H3*4.75/1000)+(1%*(H3*4.75/1000))</f>
        <v>137.66627744999997</v>
      </c>
      <c r="M3" s="54">
        <f>+F3/36</f>
        <v>1</v>
      </c>
      <c r="N3" s="54">
        <f>+(H3+J3+K3+L3)*M3</f>
        <v>36485.654733449992</v>
      </c>
      <c r="O3" s="54">
        <f>+(H3+J3+K3+L3+I3)*M3</f>
        <v>38924.765433449989</v>
      </c>
    </row>
    <row r="4" spans="1:21" s="56" customFormat="1" x14ac:dyDescent="0.25">
      <c r="A4" s="249"/>
      <c r="B4" s="49" t="s">
        <v>57</v>
      </c>
      <c r="C4" s="49" t="s">
        <v>5</v>
      </c>
      <c r="D4" s="50" t="s">
        <v>24</v>
      </c>
      <c r="E4" s="50" t="s">
        <v>10</v>
      </c>
      <c r="F4" s="79">
        <v>30</v>
      </c>
      <c r="G4" s="51" t="s">
        <v>7</v>
      </c>
      <c r="H4" s="52">
        <f>+(TABELLARI!D16+TABELLARI!E16+TABELLARI!F16+TABELLARI!I16)*13</f>
        <v>25925.899999999998</v>
      </c>
      <c r="I4" s="53">
        <f>+H4*8.5/100</f>
        <v>2203.7015000000001</v>
      </c>
      <c r="J4" s="53">
        <f>+H4*23.8/100</f>
        <v>6170.3641999999991</v>
      </c>
      <c r="K4" s="53">
        <f>+(TABELLARI!D16+TABELLARI!E16+TABELLARI!I16)*13*2.88/100</f>
        <v>740.30111999999997</v>
      </c>
      <c r="L4" s="71">
        <f>(H4*4.75/1000)+(1%*(H4*4.75/1000))</f>
        <v>124.37950524999999</v>
      </c>
      <c r="M4" s="80">
        <f t="shared" ref="M4:M11" si="0">+F4/36</f>
        <v>0.83333333333333337</v>
      </c>
      <c r="N4" s="54">
        <f>+(H4+J4+K4+L4)*M4</f>
        <v>27467.454021041664</v>
      </c>
      <c r="O4" s="54">
        <f>+(H4+J4+K4+L4+I4)*M4</f>
        <v>29303.871937708333</v>
      </c>
    </row>
    <row r="5" spans="1:21" s="56" customFormat="1" x14ac:dyDescent="0.25">
      <c r="A5" s="247" t="s">
        <v>55</v>
      </c>
      <c r="B5" s="49" t="s">
        <v>80</v>
      </c>
      <c r="C5" s="57" t="s">
        <v>81</v>
      </c>
      <c r="D5" s="50" t="s">
        <v>24</v>
      </c>
      <c r="E5" s="50" t="s">
        <v>10</v>
      </c>
      <c r="F5" s="50">
        <v>36</v>
      </c>
      <c r="G5" s="51" t="s">
        <v>69</v>
      </c>
      <c r="H5" s="52">
        <f>+(TABELLARI!D18+TABELLARI!E18+TABELLARI!F18+TABELLARI!I18)*13</f>
        <v>26339.690000000002</v>
      </c>
      <c r="I5" s="53">
        <f t="shared" ref="I5:I11" si="1">+H5*8.5/100</f>
        <v>2238.87365</v>
      </c>
      <c r="J5" s="53">
        <f t="shared" ref="J5:J11" si="2">+H5*23.8/100</f>
        <v>6268.8462200000013</v>
      </c>
      <c r="K5" s="53">
        <f>(TABELLARI!D18+TABELLARI!E18+TABELLARI!I18)*13*2.88/100</f>
        <v>752.59267199999999</v>
      </c>
      <c r="L5" s="71">
        <f t="shared" ref="L5:L10" si="3">(H5*4.75/1000)+(1%*(H5*4.75/1000))</f>
        <v>126.36466277500001</v>
      </c>
      <c r="M5" s="54">
        <f t="shared" si="0"/>
        <v>1</v>
      </c>
      <c r="N5" s="54">
        <f t="shared" ref="N5:N16" si="4">+(H5+J5+K5+L5)*M5</f>
        <v>33487.493554774999</v>
      </c>
      <c r="O5" s="54">
        <f t="shared" ref="O5:O16" si="5">+(H5+J5+K5+L5+I5)*M5</f>
        <v>35726.367204775001</v>
      </c>
    </row>
    <row r="6" spans="1:21" s="56" customFormat="1" x14ac:dyDescent="0.25">
      <c r="A6" s="249"/>
      <c r="B6" s="49" t="s">
        <v>58</v>
      </c>
      <c r="C6" s="57" t="s">
        <v>21</v>
      </c>
      <c r="D6" s="50" t="s">
        <v>24</v>
      </c>
      <c r="E6" s="50" t="s">
        <v>13</v>
      </c>
      <c r="F6" s="50">
        <v>18</v>
      </c>
      <c r="G6" s="51" t="s">
        <v>6</v>
      </c>
      <c r="H6" s="52">
        <f>(TABELLARI!D11+TABELLARI!E11+TABELLARI!F11+TABELLARI!I11)*13</f>
        <v>22757.67</v>
      </c>
      <c r="I6" s="53">
        <f t="shared" si="1"/>
        <v>1934.4019499999997</v>
      </c>
      <c r="J6" s="53">
        <f t="shared" si="2"/>
        <v>5416.32546</v>
      </c>
      <c r="K6" s="53">
        <f>+(TABELLARI!D11+TABELLARI!E11+TABELLARI!I11)*13*2.88/100</f>
        <v>646.80969599999992</v>
      </c>
      <c r="L6" s="71">
        <f t="shared" si="3"/>
        <v>109.17992182499999</v>
      </c>
      <c r="M6" s="54">
        <f t="shared" si="0"/>
        <v>0.5</v>
      </c>
      <c r="N6" s="54">
        <f t="shared" si="4"/>
        <v>14464.9925389125</v>
      </c>
      <c r="O6" s="54">
        <f t="shared" si="5"/>
        <v>15432.1935139125</v>
      </c>
    </row>
    <row r="7" spans="1:21" s="56" customFormat="1" x14ac:dyDescent="0.25">
      <c r="A7" s="248"/>
      <c r="B7" s="49" t="s">
        <v>82</v>
      </c>
      <c r="C7" s="49" t="s">
        <v>21</v>
      </c>
      <c r="D7" s="50" t="s">
        <v>24</v>
      </c>
      <c r="E7" s="50" t="s">
        <v>13</v>
      </c>
      <c r="F7" s="50">
        <v>36</v>
      </c>
      <c r="G7" s="51" t="s">
        <v>6</v>
      </c>
      <c r="H7" s="52">
        <f>(TABELLARI!D11+TABELLARI!E11+TABELLARI!F11+TABELLARI!I11)*13</f>
        <v>22757.67</v>
      </c>
      <c r="I7" s="53">
        <f t="shared" si="1"/>
        <v>1934.4019499999997</v>
      </c>
      <c r="J7" s="53">
        <f t="shared" si="2"/>
        <v>5416.32546</v>
      </c>
      <c r="K7" s="53">
        <f>+(TABELLARI!D11+TABELLARI!E11+TABELLARI!I11)*13*2.88/100</f>
        <v>646.80969599999992</v>
      </c>
      <c r="L7" s="71">
        <f t="shared" si="3"/>
        <v>109.17992182499999</v>
      </c>
      <c r="M7" s="54">
        <f t="shared" si="0"/>
        <v>1</v>
      </c>
      <c r="N7" s="54">
        <f t="shared" si="4"/>
        <v>28929.985077825</v>
      </c>
      <c r="O7" s="54">
        <f t="shared" si="5"/>
        <v>30864.387027825</v>
      </c>
      <c r="U7" s="60"/>
    </row>
    <row r="8" spans="1:21" s="56" customFormat="1" x14ac:dyDescent="0.25">
      <c r="A8" s="247" t="s">
        <v>56</v>
      </c>
      <c r="B8" s="49" t="s">
        <v>60</v>
      </c>
      <c r="C8" s="57" t="s">
        <v>21</v>
      </c>
      <c r="D8" s="50" t="s">
        <v>24</v>
      </c>
      <c r="E8" s="50" t="s">
        <v>10</v>
      </c>
      <c r="F8" s="50">
        <v>36</v>
      </c>
      <c r="G8" s="51" t="s">
        <v>7</v>
      </c>
      <c r="H8" s="52">
        <f>+(TABELLARI!D16+TABELLARI!E16+TABELLARI!F16+TABELLARI!I16)*13</f>
        <v>25925.899999999998</v>
      </c>
      <c r="I8" s="53">
        <f>+H8*8.5/100</f>
        <v>2203.7015000000001</v>
      </c>
      <c r="J8" s="53">
        <f t="shared" si="2"/>
        <v>6170.3641999999991</v>
      </c>
      <c r="K8" s="53">
        <f>+(TABELLARI!D16+TABELLARI!E16+TABELLARI!I16)*13*2.88/100</f>
        <v>740.30111999999997</v>
      </c>
      <c r="L8" s="71">
        <f t="shared" si="3"/>
        <v>124.37950524999999</v>
      </c>
      <c r="M8" s="54">
        <f t="shared" si="0"/>
        <v>1</v>
      </c>
      <c r="N8" s="54">
        <f t="shared" si="4"/>
        <v>32960.944825249993</v>
      </c>
      <c r="O8" s="54">
        <f t="shared" si="5"/>
        <v>35164.646325249996</v>
      </c>
      <c r="U8" s="60"/>
    </row>
    <row r="9" spans="1:21" s="56" customFormat="1" x14ac:dyDescent="0.25">
      <c r="A9" s="249"/>
      <c r="B9" s="81" t="s">
        <v>60</v>
      </c>
      <c r="C9" s="82" t="s">
        <v>94</v>
      </c>
      <c r="D9" s="83">
        <v>45107</v>
      </c>
      <c r="E9" s="84" t="s">
        <v>10</v>
      </c>
      <c r="F9" s="84">
        <v>36</v>
      </c>
      <c r="G9" s="85" t="s">
        <v>7</v>
      </c>
      <c r="H9" s="86">
        <f>+(TABELLARI!D16+TABELLARI!E16+TABELLARI!F16+TABELLARI!I16)*6.5</f>
        <v>12962.949999999999</v>
      </c>
      <c r="I9" s="87">
        <f>+H9*8.5/100</f>
        <v>1101.8507500000001</v>
      </c>
      <c r="J9" s="87">
        <f t="shared" si="2"/>
        <v>3085.1820999999995</v>
      </c>
      <c r="K9" s="87">
        <f>+(TABELLARI!D18+TABELLARI!E18+TABELLARI!I18)*13*2.88/100</f>
        <v>752.59267199999999</v>
      </c>
      <c r="L9" s="88">
        <f t="shared" si="3"/>
        <v>62.189752624999997</v>
      </c>
      <c r="M9" s="89">
        <f t="shared" si="0"/>
        <v>1</v>
      </c>
      <c r="N9" s="89">
        <f t="shared" si="4"/>
        <v>16862.914524624997</v>
      </c>
      <c r="O9" s="89">
        <f t="shared" si="5"/>
        <v>17964.765274624999</v>
      </c>
      <c r="U9" s="60"/>
    </row>
    <row r="10" spans="1:21" s="56" customFormat="1" ht="25.5" customHeight="1" x14ac:dyDescent="0.25">
      <c r="A10" s="249"/>
      <c r="B10" s="49" t="s">
        <v>83</v>
      </c>
      <c r="C10" s="49" t="s">
        <v>5</v>
      </c>
      <c r="D10" s="50" t="s">
        <v>24</v>
      </c>
      <c r="E10" s="50" t="s">
        <v>13</v>
      </c>
      <c r="F10" s="79">
        <v>36</v>
      </c>
      <c r="G10" s="51" t="s">
        <v>6</v>
      </c>
      <c r="H10" s="52">
        <f>(TABELLARI!D11+TABELLARI!E11+TABELLARI!F11+TABELLARI!I11)*13</f>
        <v>22757.67</v>
      </c>
      <c r="I10" s="53">
        <f t="shared" si="1"/>
        <v>1934.4019499999997</v>
      </c>
      <c r="J10" s="53">
        <f t="shared" si="2"/>
        <v>5416.32546</v>
      </c>
      <c r="K10" s="53">
        <f>+(TABELLARI!D11+TABELLARI!E11+TABELLARI!I11)*13*2.88/100</f>
        <v>646.80969599999992</v>
      </c>
      <c r="L10" s="71">
        <f t="shared" si="3"/>
        <v>109.17992182499999</v>
      </c>
      <c r="M10" s="80">
        <f t="shared" si="0"/>
        <v>1</v>
      </c>
      <c r="N10" s="54">
        <f t="shared" si="4"/>
        <v>28929.985077825</v>
      </c>
      <c r="O10" s="54">
        <f t="shared" si="5"/>
        <v>30864.387027825</v>
      </c>
      <c r="U10" s="60"/>
    </row>
    <row r="11" spans="1:21" s="56" customFormat="1" ht="35.25" customHeight="1" x14ac:dyDescent="0.25">
      <c r="A11" s="249"/>
      <c r="B11" s="49" t="s">
        <v>61</v>
      </c>
      <c r="C11" s="49" t="s">
        <v>5</v>
      </c>
      <c r="D11" s="50" t="s">
        <v>24</v>
      </c>
      <c r="E11" s="50" t="s">
        <v>62</v>
      </c>
      <c r="F11" s="50">
        <v>36</v>
      </c>
      <c r="G11" s="51" t="s">
        <v>9</v>
      </c>
      <c r="H11" s="52">
        <f>+(TABELLARI!D8+TABELLARI!E8+TABELLARI!F8+TABELLARI!I8)*13</f>
        <v>21723.26</v>
      </c>
      <c r="I11" s="53">
        <f t="shared" si="1"/>
        <v>1846.4770999999998</v>
      </c>
      <c r="J11" s="53">
        <f t="shared" si="2"/>
        <v>5170.1358799999998</v>
      </c>
      <c r="K11" s="53">
        <f>+(TABELLARI!D8+TABELLARI!E8+TABELLARI!I8)*13*2.88/100</f>
        <v>616.64428799999996</v>
      </c>
      <c r="L11" s="71">
        <f>(H11*4.75/1000)+(1%*(H11*4.75/1000))</f>
        <v>104.21733984999999</v>
      </c>
      <c r="M11" s="54">
        <f t="shared" si="0"/>
        <v>1</v>
      </c>
      <c r="N11" s="54">
        <f t="shared" si="4"/>
        <v>27614.257507849998</v>
      </c>
      <c r="O11" s="54">
        <f t="shared" si="5"/>
        <v>29460.734607849998</v>
      </c>
      <c r="U11" s="60"/>
    </row>
    <row r="12" spans="1:21" s="56" customFormat="1" x14ac:dyDescent="0.25">
      <c r="A12" s="248"/>
      <c r="B12" s="49"/>
      <c r="C12" s="49"/>
      <c r="D12" s="49"/>
      <c r="E12" s="50"/>
      <c r="F12" s="50"/>
      <c r="G12" s="51"/>
      <c r="H12" s="52"/>
      <c r="I12" s="53"/>
      <c r="J12" s="53"/>
      <c r="K12" s="53"/>
      <c r="L12" s="71">
        <f t="shared" ref="L12" si="6">(H12*4.75/1000)+(1%*(H12*4.75/1000))</f>
        <v>0</v>
      </c>
      <c r="M12" s="53"/>
      <c r="N12" s="54"/>
      <c r="O12" s="54">
        <f t="shared" si="5"/>
        <v>0</v>
      </c>
    </row>
    <row r="13" spans="1:21" s="56" customFormat="1" ht="33.75" x14ac:dyDescent="0.25">
      <c r="A13" s="273"/>
      <c r="B13" s="274"/>
      <c r="C13" s="274"/>
      <c r="D13" s="274"/>
      <c r="E13" s="274"/>
      <c r="F13" s="275"/>
      <c r="G13" s="51" t="s">
        <v>88</v>
      </c>
      <c r="H13" s="52">
        <f>15000+9654.74</f>
        <v>24654.739999999998</v>
      </c>
      <c r="I13" s="53">
        <v>1275</v>
      </c>
      <c r="J13" s="53">
        <v>3570</v>
      </c>
      <c r="K13" s="53">
        <v>345.5</v>
      </c>
      <c r="L13" s="53">
        <v>75.75</v>
      </c>
      <c r="M13" s="53">
        <v>1</v>
      </c>
      <c r="N13" s="54">
        <f t="shared" si="4"/>
        <v>28645.989999999998</v>
      </c>
      <c r="O13" s="54">
        <f t="shared" si="5"/>
        <v>29920.989999999998</v>
      </c>
    </row>
    <row r="14" spans="1:21" s="56" customFormat="1" x14ac:dyDescent="0.25">
      <c r="A14" s="252"/>
      <c r="B14" s="253"/>
      <c r="C14" s="253"/>
      <c r="D14" s="253"/>
      <c r="E14" s="253"/>
      <c r="F14" s="254"/>
      <c r="G14" s="51" t="s">
        <v>65</v>
      </c>
      <c r="H14" s="52">
        <v>8843.36</v>
      </c>
      <c r="I14" s="53">
        <v>751.69</v>
      </c>
      <c r="J14" s="53">
        <v>2104.7199999999998</v>
      </c>
      <c r="K14" s="53"/>
      <c r="L14" s="53"/>
      <c r="M14" s="53">
        <v>1</v>
      </c>
      <c r="N14" s="54">
        <f t="shared" si="4"/>
        <v>10948.08</v>
      </c>
      <c r="O14" s="54">
        <f t="shared" si="5"/>
        <v>11699.77</v>
      </c>
    </row>
    <row r="15" spans="1:21" s="56" customFormat="1" x14ac:dyDescent="0.25">
      <c r="A15" s="252"/>
      <c r="B15" s="253"/>
      <c r="C15" s="253"/>
      <c r="D15" s="253"/>
      <c r="E15" s="253"/>
      <c r="F15" s="254"/>
      <c r="G15" s="51" t="s">
        <v>66</v>
      </c>
      <c r="H15" s="52">
        <v>1500</v>
      </c>
      <c r="I15" s="53"/>
      <c r="J15" s="53"/>
      <c r="K15" s="53"/>
      <c r="L15" s="53"/>
      <c r="M15" s="53">
        <v>1</v>
      </c>
      <c r="N15" s="54">
        <f t="shared" si="4"/>
        <v>1500</v>
      </c>
      <c r="O15" s="54">
        <f t="shared" si="5"/>
        <v>1500</v>
      </c>
    </row>
    <row r="16" spans="1:21" s="56" customFormat="1" ht="22.5" x14ac:dyDescent="0.25">
      <c r="A16" s="252"/>
      <c r="B16" s="253"/>
      <c r="C16" s="253"/>
      <c r="D16" s="253"/>
      <c r="E16" s="253"/>
      <c r="F16" s="254"/>
      <c r="G16" s="51" t="s">
        <v>67</v>
      </c>
      <c r="H16" s="52">
        <v>21509.96</v>
      </c>
      <c r="I16" s="53"/>
      <c r="J16" s="53"/>
      <c r="K16" s="53"/>
      <c r="L16" s="53"/>
      <c r="M16" s="53">
        <v>1</v>
      </c>
      <c r="N16" s="53">
        <f t="shared" si="4"/>
        <v>21509.96</v>
      </c>
      <c r="O16" s="53">
        <f t="shared" si="5"/>
        <v>21509.96</v>
      </c>
    </row>
    <row r="17" spans="1:18" s="56" customFormat="1" x14ac:dyDescent="0.25">
      <c r="A17" s="252"/>
      <c r="B17" s="253"/>
      <c r="C17" s="253"/>
      <c r="D17" s="253"/>
      <c r="E17" s="253"/>
      <c r="F17" s="254"/>
      <c r="G17" s="51"/>
      <c r="H17" s="52"/>
      <c r="I17" s="53"/>
      <c r="J17" s="53"/>
      <c r="K17" s="53"/>
      <c r="L17" s="53"/>
      <c r="M17" s="53"/>
      <c r="N17" s="53"/>
      <c r="O17" s="53"/>
    </row>
    <row r="18" spans="1:18" s="56" customFormat="1" x14ac:dyDescent="0.25">
      <c r="A18" s="252"/>
      <c r="B18" s="253"/>
      <c r="C18" s="253"/>
      <c r="D18" s="253"/>
      <c r="E18" s="253"/>
      <c r="F18" s="254"/>
      <c r="G18" s="51"/>
      <c r="H18" s="52"/>
      <c r="I18" s="53"/>
      <c r="J18" s="53"/>
      <c r="K18" s="53"/>
      <c r="L18" s="53"/>
      <c r="M18" s="53"/>
      <c r="N18" s="53"/>
      <c r="O18" s="53"/>
    </row>
    <row r="19" spans="1:18" s="56" customFormat="1" x14ac:dyDescent="0.25">
      <c r="A19" s="255"/>
      <c r="B19" s="256"/>
      <c r="C19" s="256"/>
      <c r="D19" s="256"/>
      <c r="E19" s="256"/>
      <c r="F19" s="257"/>
      <c r="G19" s="51"/>
      <c r="H19" s="52"/>
      <c r="I19" s="53"/>
      <c r="J19" s="53"/>
      <c r="K19" s="53"/>
      <c r="L19" s="53"/>
      <c r="M19" s="78" t="s">
        <v>89</v>
      </c>
      <c r="N19" s="55">
        <f>SUM(N3:N17)</f>
        <v>309807.71186155418</v>
      </c>
      <c r="O19" s="55">
        <f>SUM(O3:O17)</f>
        <v>328336.83835322084</v>
      </c>
    </row>
    <row r="20" spans="1:18" ht="18.95" customHeight="1" x14ac:dyDescent="0.25"/>
    <row r="21" spans="1:18" x14ac:dyDescent="0.25">
      <c r="F21" s="73"/>
      <c r="G21" s="74"/>
      <c r="H21" s="74"/>
      <c r="I21" s="74"/>
      <c r="J21" s="74"/>
      <c r="K21" s="74"/>
      <c r="L21" s="74"/>
      <c r="M21" s="74"/>
      <c r="N21" s="77" t="s">
        <v>93</v>
      </c>
      <c r="O21" s="3"/>
    </row>
    <row r="22" spans="1:18" ht="15" customHeight="1" x14ac:dyDescent="0.25">
      <c r="D22" s="59"/>
      <c r="G22" s="74"/>
      <c r="H22" s="74"/>
      <c r="I22" s="267" t="s">
        <v>90</v>
      </c>
      <c r="J22" s="267"/>
      <c r="K22" s="267"/>
      <c r="L22" s="267"/>
      <c r="M22" s="272"/>
      <c r="N22" s="75">
        <f>+'CALCOLO LIMITI DI SPESA'!D53</f>
        <v>0</v>
      </c>
      <c r="O22" s="3"/>
    </row>
    <row r="23" spans="1:18" ht="15" customHeight="1" x14ac:dyDescent="0.25">
      <c r="G23" s="74"/>
      <c r="H23" s="74"/>
      <c r="I23" s="267" t="s">
        <v>91</v>
      </c>
      <c r="J23" s="267"/>
      <c r="K23" s="267"/>
      <c r="L23" s="267"/>
      <c r="M23" s="272"/>
      <c r="N23" s="75">
        <f>+N19</f>
        <v>309807.71186155418</v>
      </c>
      <c r="O23" s="3"/>
    </row>
    <row r="24" spans="1:18" x14ac:dyDescent="0.25">
      <c r="D24" s="58"/>
      <c r="G24" s="74"/>
      <c r="H24" s="74"/>
      <c r="I24" s="268"/>
      <c r="J24" s="268"/>
      <c r="K24" s="268"/>
      <c r="L24" s="268"/>
      <c r="M24" s="269"/>
      <c r="N24" s="75"/>
      <c r="O24" s="3"/>
    </row>
    <row r="25" spans="1:18" ht="15" customHeight="1" x14ac:dyDescent="0.25">
      <c r="G25" s="74"/>
      <c r="H25" s="74"/>
      <c r="I25" s="270" t="s">
        <v>92</v>
      </c>
      <c r="J25" s="270"/>
      <c r="K25" s="270"/>
      <c r="L25" s="270"/>
      <c r="M25" s="271"/>
      <c r="N25" s="76">
        <f>N22-N23</f>
        <v>-309807.71186155418</v>
      </c>
      <c r="O25" s="3"/>
    </row>
    <row r="26" spans="1:18" x14ac:dyDescent="0.25">
      <c r="G26" s="74"/>
      <c r="H26" s="74"/>
      <c r="I26" s="74"/>
      <c r="J26" s="74"/>
      <c r="K26" s="74"/>
      <c r="O26" s="3"/>
    </row>
    <row r="27" spans="1:18" x14ac:dyDescent="0.25">
      <c r="G27" s="74"/>
      <c r="H27" s="74"/>
      <c r="I27" s="74"/>
      <c r="J27" s="74"/>
      <c r="K27" s="74"/>
      <c r="O27" s="3"/>
    </row>
    <row r="28" spans="1:18" x14ac:dyDescent="0.25">
      <c r="G28" s="74"/>
      <c r="H28" s="74"/>
      <c r="I28" s="74"/>
      <c r="J28" s="74"/>
      <c r="K28" s="74"/>
    </row>
    <row r="29" spans="1:18" x14ac:dyDescent="0.25">
      <c r="G29" s="74"/>
      <c r="H29" s="74"/>
      <c r="I29" s="74"/>
      <c r="J29" s="74"/>
      <c r="K29" s="74"/>
      <c r="Q29" s="33"/>
      <c r="R29" s="33">
        <f t="shared" ref="R29" si="7">+R24+R25+R27+R26</f>
        <v>0</v>
      </c>
    </row>
    <row r="30" spans="1:18" x14ac:dyDescent="0.25">
      <c r="G30" s="74"/>
      <c r="H30" s="74"/>
      <c r="I30" s="74"/>
      <c r="J30" s="74"/>
      <c r="K30" s="74"/>
    </row>
  </sheetData>
  <mergeCells count="8">
    <mergeCell ref="I24:M24"/>
    <mergeCell ref="I25:M25"/>
    <mergeCell ref="A3:A4"/>
    <mergeCell ref="A5:A7"/>
    <mergeCell ref="A8:A12"/>
    <mergeCell ref="A13:F19"/>
    <mergeCell ref="I22:M22"/>
    <mergeCell ref="I23:M23"/>
  </mergeCells>
  <conditionalFormatting sqref="N2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paperSize="8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4"/>
  <sheetViews>
    <sheetView view="pageBreakPreview" zoomScale="85" zoomScaleNormal="90" zoomScaleSheetLayoutView="85" workbookViewId="0">
      <selection activeCell="C36" sqref="C36"/>
    </sheetView>
  </sheetViews>
  <sheetFormatPr defaultColWidth="8.85546875" defaultRowHeight="15" x14ac:dyDescent="0.25"/>
  <cols>
    <col min="1" max="1" width="35.7109375" style="3" customWidth="1"/>
    <col min="2" max="2" width="39.42578125" style="3" customWidth="1"/>
    <col min="3" max="3" width="27.28515625" style="3" customWidth="1"/>
    <col min="4" max="4" width="22.140625" style="3" bestFit="1" customWidth="1"/>
    <col min="5" max="5" width="14.42578125" style="3" bestFit="1" customWidth="1"/>
    <col min="6" max="6" width="12.42578125" style="3" customWidth="1"/>
    <col min="7" max="7" width="12.7109375" style="3" customWidth="1"/>
    <col min="8" max="8" width="22" style="3" customWidth="1"/>
    <col min="9" max="9" width="14.140625" style="3" customWidth="1"/>
    <col min="10" max="10" width="10.42578125" style="3" customWidth="1"/>
    <col min="11" max="11" width="11.28515625" style="3" customWidth="1"/>
    <col min="12" max="12" width="11" style="3" customWidth="1"/>
    <col min="13" max="13" width="10.42578125" style="3" customWidth="1"/>
    <col min="14" max="14" width="11" style="3" customWidth="1"/>
    <col min="15" max="15" width="20.7109375" style="3" customWidth="1"/>
    <col min="16" max="16" width="18.42578125" style="6" customWidth="1"/>
    <col min="17" max="17" width="10" style="3" bestFit="1" customWidth="1"/>
    <col min="18" max="18" width="4.7109375" style="3" customWidth="1"/>
    <col min="19" max="19" width="8.85546875" style="3"/>
    <col min="20" max="22" width="10.140625" style="3" bestFit="1" customWidth="1"/>
    <col min="23" max="16384" width="8.85546875" style="3"/>
  </cols>
  <sheetData>
    <row r="1" spans="1:22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22" s="48" customFormat="1" ht="60" x14ac:dyDescent="0.25">
      <c r="A2" s="45" t="s">
        <v>53</v>
      </c>
      <c r="B2" s="45" t="s">
        <v>14</v>
      </c>
      <c r="C2" s="45" t="s">
        <v>20</v>
      </c>
      <c r="D2" s="45" t="s">
        <v>97</v>
      </c>
      <c r="E2" s="45" t="s">
        <v>23</v>
      </c>
      <c r="F2" s="45" t="s">
        <v>15</v>
      </c>
      <c r="G2" s="45" t="s">
        <v>3</v>
      </c>
      <c r="H2" s="46" t="s">
        <v>11</v>
      </c>
      <c r="I2" s="46" t="s">
        <v>84</v>
      </c>
      <c r="J2" s="47" t="s">
        <v>0</v>
      </c>
      <c r="K2" s="47" t="s">
        <v>2</v>
      </c>
      <c r="L2" s="47" t="s">
        <v>85</v>
      </c>
      <c r="M2" s="47" t="s">
        <v>1</v>
      </c>
      <c r="N2" s="47" t="s">
        <v>12</v>
      </c>
      <c r="O2" s="72" t="s">
        <v>86</v>
      </c>
      <c r="P2" s="72" t="s">
        <v>87</v>
      </c>
    </row>
    <row r="3" spans="1:22" s="56" customFormat="1" x14ac:dyDescent="0.25">
      <c r="A3" s="93" t="s">
        <v>54</v>
      </c>
      <c r="B3" s="49" t="s">
        <v>8</v>
      </c>
      <c r="C3" s="49" t="s">
        <v>21</v>
      </c>
      <c r="D3" s="49" t="s">
        <v>5</v>
      </c>
      <c r="E3" s="50" t="s">
        <v>24</v>
      </c>
      <c r="F3" s="50" t="s">
        <v>10</v>
      </c>
      <c r="G3" s="50">
        <v>36</v>
      </c>
      <c r="H3" s="51" t="s">
        <v>7</v>
      </c>
      <c r="I3" s="52">
        <f>+TABELLARI!K43</f>
        <v>26783.48</v>
      </c>
      <c r="J3" s="53">
        <f>+I3*8.5/100</f>
        <v>2276.5958000000001</v>
      </c>
      <c r="K3" s="53">
        <f>+I3*23.8/100</f>
        <v>6374.4682400000002</v>
      </c>
      <c r="L3" s="53">
        <f>+I3*2.88/100</f>
        <v>771.36422399999992</v>
      </c>
      <c r="M3" s="71">
        <f>(I3*4.75/1000)+(1%*(I3*4.75/1000))</f>
        <v>128.4937453</v>
      </c>
      <c r="N3" s="54">
        <f>+G3/36</f>
        <v>1</v>
      </c>
      <c r="O3" s="54">
        <f>+(I3+K3+L3+M3)*N3</f>
        <v>34057.806209299997</v>
      </c>
      <c r="P3" s="54">
        <f>+(I3+K3+L3+M3+J3)*N3</f>
        <v>36334.4020093</v>
      </c>
    </row>
    <row r="4" spans="1:22" s="56" customFormat="1" x14ac:dyDescent="0.25">
      <c r="A4" s="247" t="s">
        <v>55</v>
      </c>
      <c r="B4" s="49" t="s">
        <v>101</v>
      </c>
      <c r="C4" s="57" t="s">
        <v>81</v>
      </c>
      <c r="D4" s="57"/>
      <c r="E4" s="50" t="s">
        <v>24</v>
      </c>
      <c r="F4" s="50" t="s">
        <v>10</v>
      </c>
      <c r="G4" s="50">
        <v>36</v>
      </c>
      <c r="H4" s="51" t="s">
        <v>7</v>
      </c>
      <c r="I4" s="52">
        <f>+TABELLARI!K43</f>
        <v>26783.48</v>
      </c>
      <c r="J4" s="53">
        <f t="shared" ref="J4:J9" si="0">+I4*8.5/100</f>
        <v>2276.5958000000001</v>
      </c>
      <c r="K4" s="53">
        <f t="shared" ref="K4:K9" si="1">+I4*23.8/100</f>
        <v>6374.4682400000002</v>
      </c>
      <c r="L4" s="53">
        <f t="shared" ref="L4:L7" si="2">+I4*2.88/100</f>
        <v>771.36422399999992</v>
      </c>
      <c r="M4" s="71">
        <f t="shared" ref="M4:M9" si="3">(I4*4.75/1000)+(1%*(I4*4.75/1000))</f>
        <v>128.4937453</v>
      </c>
      <c r="N4" s="54">
        <f t="shared" ref="N4:N9" si="4">+G4/36</f>
        <v>1</v>
      </c>
      <c r="O4" s="54">
        <f t="shared" ref="O4:O10" si="5">+(I4+K4+L4+M4)*N4</f>
        <v>34057.806209299997</v>
      </c>
      <c r="P4" s="54">
        <f t="shared" ref="P4:P14" si="6">+(I4+K4+L4+M4+J4)*N4</f>
        <v>36334.4020093</v>
      </c>
    </row>
    <row r="5" spans="1:22" s="56" customFormat="1" x14ac:dyDescent="0.25">
      <c r="A5" s="249"/>
      <c r="B5" s="49" t="s">
        <v>119</v>
      </c>
      <c r="C5" s="57" t="s">
        <v>21</v>
      </c>
      <c r="D5" s="57"/>
      <c r="E5" s="50" t="s">
        <v>24</v>
      </c>
      <c r="F5" s="50" t="s">
        <v>13</v>
      </c>
      <c r="G5" s="50">
        <v>36</v>
      </c>
      <c r="H5" s="51" t="s">
        <v>6</v>
      </c>
      <c r="I5" s="52">
        <f>+TABELLARI!K40</f>
        <v>0</v>
      </c>
      <c r="J5" s="53">
        <f t="shared" si="0"/>
        <v>0</v>
      </c>
      <c r="K5" s="53">
        <f t="shared" si="1"/>
        <v>0</v>
      </c>
      <c r="L5" s="53">
        <f t="shared" si="2"/>
        <v>0</v>
      </c>
      <c r="M5" s="71">
        <f t="shared" si="3"/>
        <v>0</v>
      </c>
      <c r="N5" s="54">
        <f t="shared" si="4"/>
        <v>1</v>
      </c>
      <c r="O5" s="54">
        <f t="shared" si="5"/>
        <v>0</v>
      </c>
      <c r="P5" s="54">
        <f t="shared" si="6"/>
        <v>0</v>
      </c>
    </row>
    <row r="6" spans="1:22" s="56" customFormat="1" x14ac:dyDescent="0.25">
      <c r="A6" s="248"/>
      <c r="B6" s="49" t="s">
        <v>100</v>
      </c>
      <c r="C6" s="49" t="s">
        <v>21</v>
      </c>
      <c r="D6" s="49"/>
      <c r="E6" s="50" t="s">
        <v>24</v>
      </c>
      <c r="F6" s="50" t="s">
        <v>10</v>
      </c>
      <c r="G6" s="50">
        <v>18</v>
      </c>
      <c r="H6" s="51" t="s">
        <v>7</v>
      </c>
      <c r="I6" s="52">
        <f>+TABELLARI!K43</f>
        <v>26783.48</v>
      </c>
      <c r="J6" s="53">
        <f t="shared" si="0"/>
        <v>2276.5958000000001</v>
      </c>
      <c r="K6" s="53">
        <f t="shared" si="1"/>
        <v>6374.4682400000002</v>
      </c>
      <c r="L6" s="53">
        <f t="shared" si="2"/>
        <v>771.36422399999992</v>
      </c>
      <c r="M6" s="71">
        <f t="shared" si="3"/>
        <v>128.4937453</v>
      </c>
      <c r="N6" s="54">
        <f t="shared" si="4"/>
        <v>0.5</v>
      </c>
      <c r="O6" s="54">
        <f t="shared" si="5"/>
        <v>17028.903104649999</v>
      </c>
      <c r="P6" s="54">
        <f t="shared" si="6"/>
        <v>18167.20100465</v>
      </c>
      <c r="V6" s="60"/>
    </row>
    <row r="7" spans="1:22" s="56" customFormat="1" x14ac:dyDescent="0.25">
      <c r="A7" s="247" t="s">
        <v>56</v>
      </c>
      <c r="B7" s="49" t="s">
        <v>60</v>
      </c>
      <c r="C7" s="57" t="s">
        <v>21</v>
      </c>
      <c r="D7" s="57"/>
      <c r="E7" s="50" t="s">
        <v>24</v>
      </c>
      <c r="F7" s="50" t="s">
        <v>10</v>
      </c>
      <c r="G7" s="50">
        <v>30</v>
      </c>
      <c r="H7" s="51" t="s">
        <v>7</v>
      </c>
      <c r="I7" s="52">
        <f>+TABELLARI!K43</f>
        <v>26783.48</v>
      </c>
      <c r="J7" s="53">
        <f>+I7*8.5/100</f>
        <v>2276.5958000000001</v>
      </c>
      <c r="K7" s="53">
        <f t="shared" si="1"/>
        <v>6374.4682400000002</v>
      </c>
      <c r="L7" s="53">
        <f t="shared" si="2"/>
        <v>771.36422399999992</v>
      </c>
      <c r="M7" s="71">
        <f t="shared" si="3"/>
        <v>128.4937453</v>
      </c>
      <c r="N7" s="54">
        <f t="shared" si="4"/>
        <v>0.83333333333333337</v>
      </c>
      <c r="O7" s="54">
        <f t="shared" si="5"/>
        <v>28381.505174416667</v>
      </c>
      <c r="P7" s="54">
        <f t="shared" si="6"/>
        <v>30278.668341083336</v>
      </c>
      <c r="V7" s="60"/>
    </row>
    <row r="8" spans="1:22" s="56" customFormat="1" ht="25.5" customHeight="1" x14ac:dyDescent="0.25">
      <c r="A8" s="249"/>
      <c r="B8" s="49" t="s">
        <v>83</v>
      </c>
      <c r="C8" s="49" t="s">
        <v>21</v>
      </c>
      <c r="D8" s="49"/>
      <c r="E8" s="50" t="s">
        <v>24</v>
      </c>
      <c r="F8" s="50" t="s">
        <v>13</v>
      </c>
      <c r="G8" s="50">
        <v>36</v>
      </c>
      <c r="H8" s="51" t="s">
        <v>6</v>
      </c>
      <c r="I8" s="52">
        <f>+TABELLARI!K40</f>
        <v>0</v>
      </c>
      <c r="J8" s="53">
        <f t="shared" si="0"/>
        <v>0</v>
      </c>
      <c r="K8" s="53">
        <f t="shared" si="1"/>
        <v>0</v>
      </c>
      <c r="L8" s="53">
        <f>+(TABELLARI!D11+TABELLARI!E11+TABELLARI!I11)*13*2.88/100</f>
        <v>646.80969599999992</v>
      </c>
      <c r="M8" s="71">
        <f t="shared" si="3"/>
        <v>0</v>
      </c>
      <c r="N8" s="54">
        <f t="shared" si="4"/>
        <v>1</v>
      </c>
      <c r="O8" s="54">
        <f t="shared" si="5"/>
        <v>646.80969599999992</v>
      </c>
      <c r="P8" s="54">
        <f t="shared" si="6"/>
        <v>646.80969599999992</v>
      </c>
      <c r="V8" s="60"/>
    </row>
    <row r="9" spans="1:22" s="56" customFormat="1" x14ac:dyDescent="0.25">
      <c r="A9" s="248"/>
      <c r="B9" s="49" t="s">
        <v>120</v>
      </c>
      <c r="C9" s="49" t="s">
        <v>21</v>
      </c>
      <c r="D9" s="49"/>
      <c r="E9" s="50" t="s">
        <v>24</v>
      </c>
      <c r="F9" s="50" t="s">
        <v>112</v>
      </c>
      <c r="G9" s="50">
        <v>36</v>
      </c>
      <c r="H9" s="51" t="s">
        <v>113</v>
      </c>
      <c r="I9" s="52">
        <f>+TABELLARI!K30</f>
        <v>0</v>
      </c>
      <c r="J9" s="53">
        <f t="shared" si="0"/>
        <v>0</v>
      </c>
      <c r="K9" s="53">
        <f t="shared" si="1"/>
        <v>0</v>
      </c>
      <c r="L9" s="53">
        <f>+(TABELLARI!D12+TABELLARI!E12+TABELLARI!I12)*13*2.88/100</f>
        <v>659.50185599999986</v>
      </c>
      <c r="M9" s="71">
        <f t="shared" si="3"/>
        <v>0</v>
      </c>
      <c r="N9" s="54">
        <f t="shared" si="4"/>
        <v>1</v>
      </c>
      <c r="O9" s="54">
        <f t="shared" si="5"/>
        <v>659.50185599999986</v>
      </c>
      <c r="P9" s="54">
        <f t="shared" si="6"/>
        <v>659.50185599999986</v>
      </c>
    </row>
    <row r="10" spans="1:22" s="56" customFormat="1" ht="22.5" x14ac:dyDescent="0.25">
      <c r="A10" s="252"/>
      <c r="B10" s="253"/>
      <c r="C10" s="253"/>
      <c r="D10" s="253"/>
      <c r="E10" s="253"/>
      <c r="F10" s="253"/>
      <c r="G10" s="254"/>
      <c r="H10" s="51" t="s">
        <v>96</v>
      </c>
      <c r="I10" s="52">
        <f>-TABELLARI!K64*2-TABELLARI!K64*0.83-TABELLARI!K64*0.5-TABELLARI!K59*2-TABELLARI!K53</f>
        <v>11081.212199999982</v>
      </c>
      <c r="J10" s="53">
        <f>+I10*8.5/100</f>
        <v>941.90303699999845</v>
      </c>
      <c r="K10" s="53">
        <f>+I10*23.8/100</f>
        <v>2637.3285035999957</v>
      </c>
      <c r="L10" s="53">
        <f>+I10*2.88/100</f>
        <v>319.1389113599995</v>
      </c>
      <c r="M10" s="71">
        <f>(I10*4.75/1000)+(1%*(I10*4.75/1000))</f>
        <v>53.162115529499914</v>
      </c>
      <c r="N10" s="54">
        <v>1</v>
      </c>
      <c r="O10" s="54">
        <f t="shared" si="5"/>
        <v>14090.841730489477</v>
      </c>
      <c r="P10" s="54">
        <f>+(I10+K10+L10+M10+J10)*N10</f>
        <v>15032.744767489476</v>
      </c>
    </row>
    <row r="11" spans="1:22" s="56" customFormat="1" ht="22.5" x14ac:dyDescent="0.25">
      <c r="A11" s="252"/>
      <c r="B11" s="253"/>
      <c r="C11" s="253"/>
      <c r="D11" s="253"/>
      <c r="E11" s="253"/>
      <c r="F11" s="253"/>
      <c r="G11" s="254"/>
      <c r="H11" s="51" t="s">
        <v>67</v>
      </c>
      <c r="I11" s="52">
        <v>21000</v>
      </c>
      <c r="J11" s="53">
        <f t="shared" ref="J11" si="7">+I11*8.5/100</f>
        <v>1785</v>
      </c>
      <c r="K11" s="53">
        <f t="shared" ref="K11" si="8">+I11*23.8/100</f>
        <v>4998</v>
      </c>
      <c r="L11" s="53">
        <f>+(TABELLARI!D14+TABELLARI!E14+TABELLARI!I14)*13*2.88/100</f>
        <v>693.14918399999999</v>
      </c>
      <c r="M11" s="71">
        <v>0</v>
      </c>
      <c r="N11" s="53">
        <v>1</v>
      </c>
      <c r="O11" s="53">
        <f>+(I11+K11+L11+M11)*N11</f>
        <v>26691.149184000002</v>
      </c>
      <c r="P11" s="53">
        <f t="shared" ref="P11" si="9">+(I11+K11+L11+M11+J11)*N11</f>
        <v>28476.149184000002</v>
      </c>
    </row>
    <row r="12" spans="1:22" s="56" customFormat="1" ht="33.75" x14ac:dyDescent="0.25">
      <c r="A12" s="252"/>
      <c r="B12" s="253"/>
      <c r="C12" s="253"/>
      <c r="D12" s="253"/>
      <c r="E12" s="253"/>
      <c r="F12" s="253"/>
      <c r="G12" s="254"/>
      <c r="H12" s="51" t="s">
        <v>88</v>
      </c>
      <c r="I12" s="100">
        <v>18975</v>
      </c>
      <c r="J12" s="101">
        <v>1275</v>
      </c>
      <c r="K12" s="101">
        <v>3570</v>
      </c>
      <c r="L12" s="101">
        <v>345.5</v>
      </c>
      <c r="M12" s="101">
        <v>75.75</v>
      </c>
      <c r="N12" s="101">
        <v>1</v>
      </c>
      <c r="O12" s="54">
        <f t="shared" ref="O12:O14" si="10">+(I12+K12+L12+M12)*N12</f>
        <v>22966.25</v>
      </c>
      <c r="P12" s="54">
        <f t="shared" si="6"/>
        <v>24241.25</v>
      </c>
    </row>
    <row r="13" spans="1:22" s="56" customFormat="1" x14ac:dyDescent="0.25">
      <c r="A13" s="252"/>
      <c r="B13" s="253"/>
      <c r="C13" s="253"/>
      <c r="D13" s="253"/>
      <c r="E13" s="253"/>
      <c r="F13" s="253"/>
      <c r="G13" s="254"/>
      <c r="H13" s="51" t="s">
        <v>121</v>
      </c>
      <c r="I13" s="100">
        <v>11000</v>
      </c>
      <c r="J13" s="101">
        <v>751.69</v>
      </c>
      <c r="K13" s="101">
        <v>2104.7199999999998</v>
      </c>
      <c r="L13" s="101"/>
      <c r="M13" s="101"/>
      <c r="N13" s="101">
        <v>1</v>
      </c>
      <c r="O13" s="54">
        <f t="shared" si="10"/>
        <v>13104.72</v>
      </c>
      <c r="P13" s="54">
        <f t="shared" si="6"/>
        <v>13856.41</v>
      </c>
    </row>
    <row r="14" spans="1:22" s="56" customFormat="1" x14ac:dyDescent="0.25">
      <c r="A14" s="252"/>
      <c r="B14" s="253"/>
      <c r="C14" s="253"/>
      <c r="D14" s="253"/>
      <c r="E14" s="253"/>
      <c r="F14" s="253"/>
      <c r="G14" s="254"/>
      <c r="H14" s="51" t="s">
        <v>66</v>
      </c>
      <c r="I14" s="52">
        <v>3400</v>
      </c>
      <c r="J14" s="53"/>
      <c r="K14" s="53"/>
      <c r="L14" s="53"/>
      <c r="M14" s="53"/>
      <c r="N14" s="53">
        <v>1</v>
      </c>
      <c r="O14" s="54">
        <f t="shared" si="10"/>
        <v>3400</v>
      </c>
      <c r="P14" s="54">
        <f t="shared" si="6"/>
        <v>3400</v>
      </c>
    </row>
    <row r="15" spans="1:22" s="56" customFormat="1" x14ac:dyDescent="0.25">
      <c r="A15" s="252"/>
      <c r="B15" s="253"/>
      <c r="C15" s="253"/>
      <c r="D15" s="253"/>
      <c r="E15" s="253"/>
      <c r="F15" s="253"/>
      <c r="G15" s="254"/>
      <c r="H15" s="51"/>
      <c r="I15" s="52"/>
      <c r="J15" s="53"/>
      <c r="K15" s="53"/>
      <c r="L15" s="53"/>
      <c r="M15" s="53"/>
      <c r="N15" s="53"/>
      <c r="O15" s="53"/>
      <c r="P15" s="53"/>
    </row>
    <row r="16" spans="1:22" s="56" customFormat="1" x14ac:dyDescent="0.25">
      <c r="A16" s="252"/>
      <c r="B16" s="253"/>
      <c r="C16" s="253"/>
      <c r="D16" s="253"/>
      <c r="E16" s="253"/>
      <c r="F16" s="253"/>
      <c r="G16" s="254"/>
      <c r="H16" s="51"/>
      <c r="I16" s="52"/>
      <c r="J16" s="53"/>
      <c r="K16" s="53"/>
      <c r="L16" s="53"/>
      <c r="M16" s="53"/>
      <c r="N16" s="53"/>
      <c r="O16" s="53"/>
      <c r="P16" s="53"/>
    </row>
    <row r="17" spans="1:16" s="56" customFormat="1" x14ac:dyDescent="0.25">
      <c r="A17" s="255"/>
      <c r="B17" s="256"/>
      <c r="C17" s="256"/>
      <c r="D17" s="256"/>
      <c r="E17" s="256"/>
      <c r="F17" s="256"/>
      <c r="G17" s="257"/>
      <c r="H17" s="51"/>
      <c r="I17" s="52"/>
      <c r="J17" s="53"/>
      <c r="K17" s="53"/>
      <c r="L17" s="53"/>
      <c r="M17" s="53"/>
      <c r="N17" s="78" t="s">
        <v>89</v>
      </c>
      <c r="O17" s="55">
        <f>SUM(O3:O15)</f>
        <v>195085.29316415614</v>
      </c>
      <c r="P17" s="55">
        <f>SUM(P3:P15)</f>
        <v>207427.53886782282</v>
      </c>
    </row>
    <row r="18" spans="1:16" ht="18.95" customHeight="1" x14ac:dyDescent="0.25"/>
    <row r="19" spans="1:16" ht="30" x14ac:dyDescent="0.25">
      <c r="G19" s="73"/>
      <c r="H19" s="74"/>
      <c r="I19" s="74"/>
      <c r="J19" s="74"/>
      <c r="K19" s="74"/>
      <c r="L19" s="74"/>
      <c r="M19" s="74"/>
      <c r="N19" s="74"/>
      <c r="O19" s="77" t="s">
        <v>93</v>
      </c>
      <c r="P19" s="77" t="s">
        <v>122</v>
      </c>
    </row>
    <row r="20" spans="1:16" ht="15" customHeight="1" x14ac:dyDescent="0.25">
      <c r="E20" s="59"/>
      <c r="H20" s="74"/>
      <c r="I20" s="74"/>
      <c r="J20" s="267" t="s">
        <v>90</v>
      </c>
      <c r="K20" s="267"/>
      <c r="L20" s="267"/>
      <c r="M20" s="267"/>
      <c r="N20" s="272"/>
      <c r="O20" s="75">
        <f>+'CALCOLO LIMITI DI SPESA'!D53</f>
        <v>0</v>
      </c>
      <c r="P20" s="75">
        <f>+'CALCOLO LIMITI DI SPESA'!E53</f>
        <v>0</v>
      </c>
    </row>
    <row r="21" spans="1:16" ht="15" customHeight="1" x14ac:dyDescent="0.25">
      <c r="H21" s="74"/>
      <c r="I21" s="74"/>
      <c r="J21" s="267" t="s">
        <v>91</v>
      </c>
      <c r="K21" s="267"/>
      <c r="L21" s="267"/>
      <c r="M21" s="267"/>
      <c r="N21" s="272"/>
      <c r="O21" s="75">
        <f>+O17</f>
        <v>195085.29316415614</v>
      </c>
      <c r="P21" s="75">
        <f>+O17</f>
        <v>195085.29316415614</v>
      </c>
    </row>
    <row r="22" spans="1:16" x14ac:dyDescent="0.25">
      <c r="E22" s="58"/>
      <c r="H22" s="74"/>
      <c r="I22" s="74"/>
      <c r="J22" s="268"/>
      <c r="K22" s="268"/>
      <c r="L22" s="268"/>
      <c r="M22" s="268"/>
      <c r="N22" s="269"/>
      <c r="O22" s="75"/>
      <c r="P22" s="75"/>
    </row>
    <row r="23" spans="1:16" ht="15" customHeight="1" x14ac:dyDescent="0.25">
      <c r="H23" s="74"/>
      <c r="I23" s="74"/>
      <c r="J23" s="270" t="s">
        <v>92</v>
      </c>
      <c r="K23" s="270"/>
      <c r="L23" s="270"/>
      <c r="M23" s="270"/>
      <c r="N23" s="271"/>
      <c r="O23" s="76">
        <f>O20-O21</f>
        <v>-195085.29316415614</v>
      </c>
      <c r="P23" s="76">
        <f>P20-P21</f>
        <v>-195085.29316415614</v>
      </c>
    </row>
    <row r="24" spans="1:16" x14ac:dyDescent="0.25">
      <c r="H24" s="74"/>
      <c r="I24" s="74"/>
      <c r="J24" s="74"/>
      <c r="K24" s="74"/>
      <c r="L24" s="74"/>
      <c r="P24" s="3"/>
    </row>
  </sheetData>
  <mergeCells count="7">
    <mergeCell ref="J23:N23"/>
    <mergeCell ref="A4:A6"/>
    <mergeCell ref="A7:A9"/>
    <mergeCell ref="A10:G17"/>
    <mergeCell ref="J20:N20"/>
    <mergeCell ref="J21:N21"/>
    <mergeCell ref="J22:N22"/>
  </mergeCells>
  <conditionalFormatting sqref="O23:P23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8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287CB22DC374428F89A3C00AF9E032" ma:contentTypeVersion="16" ma:contentTypeDescription="Creare un nuovo documento." ma:contentTypeScope="" ma:versionID="e12f1157578ca070ec293b5805ae9ae7">
  <xsd:schema xmlns:xsd="http://www.w3.org/2001/XMLSchema" xmlns:xs="http://www.w3.org/2001/XMLSchema" xmlns:p="http://schemas.microsoft.com/office/2006/metadata/properties" xmlns:ns2="90a338f7-9150-47fc-97f4-50ee709590e3" xmlns:ns3="ec0fd57a-81d4-4dad-80e1-a95a2bfa4232" targetNamespace="http://schemas.microsoft.com/office/2006/metadata/properties" ma:root="true" ma:fieldsID="07c67e01032a3f6411274deed27e0173" ns2:_="" ns3:_="">
    <xsd:import namespace="90a338f7-9150-47fc-97f4-50ee709590e3"/>
    <xsd:import namespace="ec0fd57a-81d4-4dad-80e1-a95a2bfa4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338f7-9150-47fc-97f4-50ee70959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5f9abcda-daab-408b-bfe4-76921c4c64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fd57a-81d4-4dad-80e1-a95a2bfa4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f054d-8f53-4f0a-b631-2691d4cbddeb}" ma:internalName="TaxCatchAll" ma:showField="CatchAllData" ma:web="ec0fd57a-81d4-4dad-80e1-a95a2bfa4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0fd57a-81d4-4dad-80e1-a95a2bfa4232" xsi:nil="true"/>
    <lcf76f155ced4ddcb4097134ff3c332f xmlns="90a338f7-9150-47fc-97f4-50ee709590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13192-798F-44A0-9280-C22BAF94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338f7-9150-47fc-97f4-50ee709590e3"/>
    <ds:schemaRef ds:uri="ec0fd57a-81d4-4dad-80e1-a95a2bfa4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D36E83-C8BA-4301-AD1F-BF27ABB1675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0a338f7-9150-47fc-97f4-50ee709590e3"/>
    <ds:schemaRef ds:uri="http://purl.org/dc/terms/"/>
    <ds:schemaRef ds:uri="ec0fd57a-81d4-4dad-80e1-a95a2bfa423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D13FFD-2940-4A74-9896-CE0C01D81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6</vt:i4>
      </vt:variant>
    </vt:vector>
  </HeadingPairs>
  <TitlesOfParts>
    <vt:vector size="17" baseType="lpstr">
      <vt:lpstr>CALCOLO LIMITI DI SPESA</vt:lpstr>
      <vt:lpstr>DOTAZIONE ORGANICA</vt:lpstr>
      <vt:lpstr>CALCOLO SPESA PERSONALE 2025</vt:lpstr>
      <vt:lpstr>CALCOLO SPESA PERSONALE 2026</vt:lpstr>
      <vt:lpstr>CALCOLO SPESA PERSONALE 2027</vt:lpstr>
      <vt:lpstr>2024-2025 (A)</vt:lpstr>
      <vt:lpstr>2023 -2025 (B)</vt:lpstr>
      <vt:lpstr>2023 -2025 (C)</vt:lpstr>
      <vt:lpstr>2024-2025 (B)</vt:lpstr>
      <vt:lpstr>2024-2025 (C)</vt:lpstr>
      <vt:lpstr>TABELLARI</vt:lpstr>
      <vt:lpstr>'2023 -2025 (B)'!Area_stampa</vt:lpstr>
      <vt:lpstr>'2023 -2025 (C)'!Area_stampa</vt:lpstr>
      <vt:lpstr>'2024-2025 (A)'!Area_stampa</vt:lpstr>
      <vt:lpstr>'2024-2025 (B)'!Area_stampa</vt:lpstr>
      <vt:lpstr>'2024-2025 (C)'!Area_stampa</vt:lpstr>
      <vt:lpstr>'CALCOLO LIMITI DI SPESA'!Area_stampa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scintu</dc:creator>
  <cp:lastModifiedBy>RAG</cp:lastModifiedBy>
  <cp:lastPrinted>2022-01-31T15:51:18Z</cp:lastPrinted>
  <dcterms:created xsi:type="dcterms:W3CDTF">2020-05-25T08:33:29Z</dcterms:created>
  <dcterms:modified xsi:type="dcterms:W3CDTF">2026-06-09T11:03:14Z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0x01010025287CB22DC374428F89A3C00AF9E032</vt:lpwstr>
  </property>
  <property fmtid="{D5CDD505-2E9C-101B-9397-08002B2CF9AE}" pid="3" name="MediaServiceImageTags">
    <vt:lpwstr/>
  </property>
</Properties>
</file>