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ipugliese-my.sharepoint.com/personal/g_dambruoso_autoritaidrica_puglia_it/Documents/AIP/AIP_VARIE/IN HOUSE/DOC SOCIETA' VEICOLO/INVIO DEF/"/>
    </mc:Choice>
  </mc:AlternateContent>
  <xr:revisionPtr revIDLastSave="53" documentId="8_{0607AA52-0328-4D43-BE75-F68B5119D27B}" xr6:coauthVersionLast="47" xr6:coauthVersionMax="47" xr10:uidLastSave="{0F93FF49-004C-4F7A-8E91-067439661378}"/>
  <bookViews>
    <workbookView xWindow="-120" yWindow="-120" windowWidth="38640" windowHeight="21120" tabRatio="926" activeTab="5" xr2:uid="{5326F7FD-746B-D041-B8EA-8C6DE7B64EFD}"/>
  </bookViews>
  <sheets>
    <sheet name="Costi d'impianto" sheetId="37" r:id="rId1"/>
    <sheet name="Ipotesi" sheetId="9" r:id="rId2"/>
    <sheet name="Costi operativi" sheetId="11" r:id="rId3"/>
    <sheet name="Personale" sheetId="39" r:id="rId4"/>
    <sheet name="CCNL acqua gas" sheetId="44" r:id="rId5"/>
    <sheet name="quote Comuni" sheetId="43" r:id="rId6"/>
    <sheet name="quote Comuni_hp" sheetId="46" r:id="rId7"/>
    <sheet name="Pop_ISTAT" sheetId="45" r:id="rId8"/>
    <sheet name="Ricavi" sheetId="41" r:id="rId9"/>
    <sheet name="CE" sheetId="2" r:id="rId10"/>
    <sheet name="SP" sheetId="7" r:id="rId11"/>
    <sheet name="CF" sheetId="8" r:id="rId12"/>
    <sheet name="DCF" sheetId="29" r:id="rId13"/>
    <sheet name="Indici" sheetId="34" r:id="rId14"/>
    <sheet name="MP e MT" sheetId="20" r:id="rId15"/>
    <sheet name="Appoggio" sheetId="19" r:id="rId16"/>
    <sheet name="Iva" sheetId="15" r:id="rId17"/>
    <sheet name="Finanz. bancari" sheetId="10" r:id="rId18"/>
    <sheet name="Imm.  Mat." sheetId="16" r:id="rId19"/>
    <sheet name="Imm.  Imm." sheetId="17" r:id="rId20"/>
  </sheets>
  <externalReferences>
    <externalReference r:id="rId21"/>
    <externalReference r:id="rId22"/>
  </externalReferences>
  <definedNames>
    <definedName name="\T">'[1]#RIF'!#REF!</definedName>
    <definedName name="__IntlFixup" hidden="1">TRUE</definedName>
    <definedName name="__IntlFixupTable" hidden="1">#REF!</definedName>
    <definedName name="_C1_80">'[1]#RIF'!#REF!</definedName>
    <definedName name="_C2_80">'[1]#RIF'!#REF!</definedName>
    <definedName name="_C3_80">'[1]#RIF'!#REF!</definedName>
    <definedName name="_Fill" hidden="1">'[1]#RIF'!#REF!</definedName>
    <definedName name="_xlnm._FilterDatabase" localSheetId="5" hidden="1">'quote Comuni'!$A$18:$Q$276</definedName>
    <definedName name="_PAR1">'[1]#RIF'!#REF!</definedName>
    <definedName name="_PAR10">'[1]#RIF'!#REF!</definedName>
    <definedName name="_PAR2">'[1]#RIF'!#REF!</definedName>
    <definedName name="_PAR3">'[1]#RIF'!#REF!</definedName>
    <definedName name="_PAR4">'[1]#RIF'!#REF!</definedName>
    <definedName name="_PAR5">'[1]#RIF'!#REF!</definedName>
    <definedName name="_PAR6">'[1]#RIF'!#REF!</definedName>
    <definedName name="_PAR7">'[1]#RIF'!#REF!</definedName>
    <definedName name="_PAR8">'[1]#RIF'!#REF!</definedName>
    <definedName name="_PAR9">'[1]#RIF'!#REF!</definedName>
    <definedName name="_SRS1">#REF!</definedName>
    <definedName name="_SRS2">#REF!</definedName>
    <definedName name="_tbl1">#REF!</definedName>
    <definedName name="_Z">'[1]MSH11C SE''s'!#REF!</definedName>
    <definedName name="A">#REF!</definedName>
    <definedName name="A1PROVV_NOLI_TRASP">'[1]#RIF'!$A$6:$IV$6</definedName>
    <definedName name="A2DEMOL_RIMOZ_DISF">'[1]#RIF'!$A$27:$IV$27</definedName>
    <definedName name="A3MOVIMTERRA_SCAV_RINT">'[1]#RIF'!$A$81:$IV$81</definedName>
    <definedName name="A4DEUMIDIFICAZIONE">'[1]#RIF'!$A$115:$IV$115</definedName>
    <definedName name="A5CONSOLIDAMENTI">'[1]#RIF'!$A$121:$IV$121</definedName>
    <definedName name="A6PREVEN_INCENDI">'[1]#RIF'!$A$133:$IV$133</definedName>
    <definedName name="A7MURAT_TAMP_INTONACI">'[1]#RIF'!$A$140:$IV$140</definedName>
    <definedName name="A8OP_FALEGNAME">'[1]#RIF'!$A$205:$IV$205</definedName>
    <definedName name="A9OP_CEMENTISTA">'[1]#RIF'!$A$226:$IV$226</definedName>
    <definedName name="aaaa" hidden="1">[1]MSH51C!$GT$176:$GY$187,[1]MSH51C!#REF!,[1]MSH51C!#REF!</definedName>
    <definedName name="Ad" localSheetId="9">OFFSET(Full_Print,0,0,CE!Last_Row)</definedName>
    <definedName name="Ad" localSheetId="19">OFFSET(Full_Print,0,0,'Imm.  Imm.'!Last_Row)</definedName>
    <definedName name="Ad">OFFSET(Full_Print,0,0,Last_Row)</definedName>
    <definedName name="aliquota">'[1]Investimenti e Costi'!#REF!</definedName>
    <definedName name="AREA_PIANI">#REF!</definedName>
    <definedName name="AREA_ST_2">#REF!</definedName>
    <definedName name="_xlnm.Print_Area" localSheetId="9">CE!$A$1:$AK$29</definedName>
    <definedName name="_xlnm.Print_Area" localSheetId="11">CF!$A$1:$AI$19</definedName>
    <definedName name="_xlnm.Print_Area" localSheetId="0">'Costi d''impianto'!$A$2:$B$49</definedName>
    <definedName name="_xlnm.Print_Area" localSheetId="2">'Costi operativi'!$A$1:$U$32</definedName>
    <definedName name="_xlnm.Print_Area" localSheetId="12">DCF!$A$3:$V$51</definedName>
    <definedName name="_xlnm.Print_Area" localSheetId="17">'Finanz. bancari'!$A$2:$U$13</definedName>
    <definedName name="_xlnm.Print_Area" localSheetId="18">'Imm.  Mat.'!$B$359:$X$365</definedName>
    <definedName name="_xlnm.Print_Area" localSheetId="1">Ipotesi!$A$1:$V$67</definedName>
    <definedName name="_xlnm.Print_Area" localSheetId="16">Iva!$A$1:$V$19</definedName>
    <definedName name="_xlnm.Print_Area" localSheetId="3">Personale!$A$2:$M$8</definedName>
    <definedName name="_xlnm.Print_Area" localSheetId="6">'quote Comuni_hp'!$A$14:$T$60</definedName>
    <definedName name="_xlnm.Print_Area" localSheetId="10">SP!$A$1:$AI$41</definedName>
    <definedName name="_xlnm.Print_Area">'[1]#RIF'!$A$1:$J$270</definedName>
    <definedName name="B10SOTTOF_PAVIM_RIVEST">'[1]#RIF'!$A$241:$IV$241</definedName>
    <definedName name="B11CONTROSOFFITTI">'[1]#RIF'!$A$275:$IV$275</definedName>
    <definedName name="B12OP_FABBRO">'[1]#RIF'!$A$292:$IV$292</definedName>
    <definedName name="B13OP_VETRAIO">'[1]#RIF'!$A$384:$IV$384</definedName>
    <definedName name="B14OP_LATTONIERE">'[1]#RIF'!$A$393:$IV$393</definedName>
    <definedName name="B15ISOLATERM_IMPERMEABIL">'[1]#RIF'!$A$401:$IV$401</definedName>
    <definedName name="B16OP_IMBIANCHINO">'[1]#RIF'!$A$420:$IV$420</definedName>
    <definedName name="B17ASSISTENZE">'[1]#RIF'!$A$427:$IV$427</definedName>
    <definedName name="B18OP_ESTERNE">'[1]#RIF'!$A$437:$IV$437</definedName>
    <definedName name="B19VARIE">'[1]#RIF'!$A$444:$IV$444</definedName>
    <definedName name="back6">#REF!</definedName>
    <definedName name="back7">#REF!</definedName>
    <definedName name="BASE">'[1]#RIF'!$B$72:$J$101</definedName>
    <definedName name="Breve">[0]!Breve</definedName>
    <definedName name="C_1">'[1]#RIF'!#REF!</definedName>
    <definedName name="C_2">'[1]#RIF'!#REF!</definedName>
    <definedName name="C_3">'[1]#RIF'!#REF!</definedName>
    <definedName name="C_4">'[1]#RIF'!#REF!</definedName>
    <definedName name="CDB">#REF!</definedName>
    <definedName name="CEBDGMESE" localSheetId="19">'Imm.  Imm.'!CEBDGMESE</definedName>
    <definedName name="CEBDGMESE">[0]!CEBDGMESE</definedName>
    <definedName name="CEBUDGET" localSheetId="19">'Imm.  Imm.'!CEBUDGET</definedName>
    <definedName name="CEBUDGET">[0]!CEBUDGET</definedName>
    <definedName name="CODE">'[1]#RIF'!$B$9:$B$140</definedName>
    <definedName name="CODICI">'[1]#RIF'!$B$9:$B$141</definedName>
    <definedName name="Costo_orario">'[1]#RIF'!$D$53</definedName>
    <definedName name="CS">#REF!</definedName>
    <definedName name="d">[0]!d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_xlnm.Database">#REF!</definedName>
    <definedName name="datax">#REF!</definedName>
    <definedName name="datay">#REF!</definedName>
    <definedName name="dataz">#REF!</definedName>
    <definedName name="dflt1">#REF!</definedName>
    <definedName name="display_area_1">#REF!</definedName>
    <definedName name="display_area_2">#REF!</definedName>
    <definedName name="display_area_3">#REF!</definedName>
    <definedName name="DSP">#REF!</definedName>
    <definedName name="DSPIMO">#REF!</definedName>
    <definedName name="DSPMO">#REF!</definedName>
    <definedName name="DSPTLMO">#REF!</definedName>
    <definedName name="DTS">#REF!</definedName>
    <definedName name="End_Bal">'[1]Calcolo finanziamento'!$I$18:$I$377</definedName>
    <definedName name="Entered_Pmt">#REF!</definedName>
    <definedName name="euro">'[1]#RIF'!$M$1</definedName>
    <definedName name="F_80">'[1]#RIF'!$N$11:$N$249</definedName>
    <definedName name="fanculo" hidden="1">[1]MSH51C!$C$1:$C$65536,[1]MSH51C!$H$1:$FU$65536</definedName>
    <definedName name="FLAG">'[1]MSH11C SE''s'!#REF!</definedName>
    <definedName name="FR" localSheetId="19">'Imm.  Imm.'!FR</definedName>
    <definedName name="FR">[0]!FR</definedName>
    <definedName name="Full_Print">'[1]Calcolo finanziamento'!$A$1:$I$377</definedName>
    <definedName name="GoAssetChart" localSheetId="19">'Imm.  Imm.'!GoAssetChart</definedName>
    <definedName name="GoAssetChart">[0]!GoAssetChart</definedName>
    <definedName name="GoBack" localSheetId="19">'Imm.  Imm.'!GoBack</definedName>
    <definedName name="GoBack">[0]!GoBack</definedName>
    <definedName name="GoBalanceSheet" localSheetId="19">'Imm.  Imm.'!GoBalanceSheet</definedName>
    <definedName name="GoBalanceSheet">[0]!GoBalanceSheet</definedName>
    <definedName name="GoCashFlow" localSheetId="19">'Imm.  Imm.'!GoCashFlow</definedName>
    <definedName name="GoCashFlow">[0]!GoCashFlow</definedName>
    <definedName name="GoData" localSheetId="19">'Imm.  Imm.'!GoData</definedName>
    <definedName name="GoData">[0]!GoData</definedName>
    <definedName name="GoIncomeChart" localSheetId="19">'Imm.  Imm.'!GoIncomeChart</definedName>
    <definedName name="GoIncomeChart">[0]!GoIncomeChart</definedName>
    <definedName name="Header_Area">#REF!</definedName>
    <definedName name="Header_Row">ROW('[1]Calcolo finanziamento'!$A$17:$IV$17)</definedName>
    <definedName name="I_80">'[1]#RIF'!#REF!</definedName>
    <definedName name="inflazione">'[1]Verde Bosco s.r.l'!#REF!</definedName>
    <definedName name="INT">#REF!</definedName>
    <definedName name="Interest_Rate">'[1]Calcolo finanziamento'!$D$7</definedName>
    <definedName name="IU_80">'[1]#RIF'!#REF!</definedName>
    <definedName name="KT">'[1]#RIF'!$G$4</definedName>
    <definedName name="Last_Row" localSheetId="9">IF(CE!Values_Entered,Header_Row+CE!Number_of_Payments,Header_Row)</definedName>
    <definedName name="Last_Row" localSheetId="19">IF('Imm.  Imm.'!Values_Entered,Header_Row+'Imm.  Imm.'!Number_of_Payments,Header_Row)</definedName>
    <definedName name="Last_Row">IF(Values_Entered,Header_Row+Number_of_Payments,Header_Row)</definedName>
    <definedName name="leasauto">'[1]#RIF'!$C$19</definedName>
    <definedName name="lingua">[1]demographics!$C$4</definedName>
    <definedName name="Lire_euro">'[1]#RIF'!#REF!</definedName>
    <definedName name="Lire_punto">'[1]#RIF'!#REF!</definedName>
    <definedName name="Loan_Amount">'[1]Calcolo finanziamento'!$D$6</definedName>
    <definedName name="Loan_Start">'[1]Calcolo finanziamento'!$D$10</definedName>
    <definedName name="Loan_Years">'[1]Calcolo finanziamento'!$D$8</definedName>
    <definedName name="LoanTable">#REF!</definedName>
    <definedName name="LOC">#REF!</definedName>
    <definedName name="LTR">#REF!</definedName>
    <definedName name="MSH80_1">'[1]#RIF'!$B$11:$O$250</definedName>
    <definedName name="NOMO">#REF!</definedName>
    <definedName name="NS">#REF!</definedName>
    <definedName name="Number_of_Payments" localSheetId="9">MATCH(0.01,End_Bal,-1)+1</definedName>
    <definedName name="Number_of_Payments" localSheetId="19">MATCH(0.01,End_Bal,-1)+1</definedName>
    <definedName name="Number_of_Payments">MATCH(0.01,End_Bal,-1)+1</definedName>
    <definedName name="NUMCHECK">AND(ISNUMBER(#REF!),ISNUMBER(#REF!),ISNUMBER(#REF!),ISNUMBER(#REF!))</definedName>
    <definedName name="NUMENTRIES">#REF!</definedName>
    <definedName name="Payment_Date" localSheetId="9">DATE(YEAR(Loan_Start),MONTH(Loan_Start)+Payment_Number,DAY(Loan_Start))</definedName>
    <definedName name="Payment_Date" localSheetId="19">DATE(YEAR(Loan_Start),MONTH(Loan_Start)+Payment_Number,DAY(Loan_Start))</definedName>
    <definedName name="Payment_Date">DATE(YEAR(Loan_Start),MONTH(Loan_Start)+Payment_Number,DAY(Loan_Start))</definedName>
    <definedName name="PERYR">#REF!</definedName>
    <definedName name="pippo" localSheetId="19">'Imm.  Imm.'!pippo</definedName>
    <definedName name="pippo">[0]!pippo</definedName>
    <definedName name="pmnt">#REF!</definedName>
    <definedName name="Principal">#REF!</definedName>
    <definedName name="Print_Area_Reset" localSheetId="9">OFFSET(Full_Print,0,0,CE!Last_Row)</definedName>
    <definedName name="Print_Area_Reset" localSheetId="19">OFFSET(Full_Print,0,0,'Imm.  Imm.'!Last_Row)</definedName>
    <definedName name="Print_Area_Reset">OFFSET(Full_Print,0,0,Last_Row)</definedName>
    <definedName name="PRINT_TITLES_MI">'[1]#RIF'!$A$1:$IV$4</definedName>
    <definedName name="QTOT">'[1]#RIF'!#REF!</definedName>
    <definedName name="RefreshArea">#REF!</definedName>
    <definedName name="rita" localSheetId="19">'Imm.  Imm.'!rita</definedName>
    <definedName name="rita">[0]!rita</definedName>
    <definedName name="S">[0]!S</definedName>
    <definedName name="SCORTE80">'[1]#RIF'!$B$194:$O$249</definedName>
    <definedName name="SS">#REF!</definedName>
    <definedName name="SU">'[1]MSH11C SE''s'!#REF!</definedName>
    <definedName name="TAB_41C">'[1]#RIF'!$B$11:$V$169</definedName>
    <definedName name="_xlnm.Print_Titles">'[1]#RIF'!$A$1:$IV$4</definedName>
    <definedName name="TOT">#REF!</definedName>
    <definedName name="Total_Payment" localSheetId="9">Scheduled_Payment+Extra_Payment</definedName>
    <definedName name="Total_Payment" localSheetId="19">Scheduled_Payment+Extra_Payment</definedName>
    <definedName name="Total_Payment">Scheduled_Payment+Extra_Payment</definedName>
    <definedName name="trevws" localSheetId="19">'Imm.  Imm.'!trevws</definedName>
    <definedName name="trevws">[0]!trevws</definedName>
    <definedName name="UNITA80">'[1]#RIF'!$B$11:$O$193</definedName>
    <definedName name="Values_Entered" localSheetId="9">IF(Loan_Amount*Interest_Rate*Loan_Years*Loan_Start&gt;0,1,0)</definedName>
    <definedName name="Values_Entered" localSheetId="19">IF(Loan_Amount*Interest_Rate*Loan_Years*Loan_Start&gt;0,1,0)</definedName>
    <definedName name="Values_Entered">IF(Loan_Amount*Interest_Rate*Loan_Years*Loan_Start&gt;0,1,0)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warn1">#REF!</definedName>
    <definedName name="warn2">#REF!</definedName>
    <definedName name="WF_80">'[1]#RIF'!#REF!</definedName>
    <definedName name="Z_9D737543_22F2_11D3_ACAF_004F490495C0_.wvu.Cols" hidden="1">[1]MSH51C!#REF!,[1]MSH51C!#REF!,[1]MSH51C!$FM$1:$FW$65536</definedName>
    <definedName name="Z_9D737543_22F2_11D3_ACAF_004F490495C0_.wvu.PrintArea" hidden="1">[1]MSH51C!$GN$1:$GU$65536,[1]MSH51C!#REF!,[1]MSH51C!#REF!,[1]MSH51C!#REF!,[1]MSH51C!#REF!</definedName>
    <definedName name="Z_9D737543_22F2_11D3_ACAF_004F490495C0_.wvu.PrintTitles" hidden="1">[1]MSH51C!$B$1:$J$65536,[1]MSH51C!#REF!</definedName>
    <definedName name="Z_9D737543_22F2_11D3_ACAF_004F490495C0_.wvu.Rows" hidden="1">[2]MSH51C!$A$11:$IV$13,[2]MSH51C!$A$17:$IV$27,[2]MSH51C!$A$62:$IV$64,[2]MSH51C!$A$66:$IV$68,[2]MSH51C!$A$70:$IV$71,[2]MSH51C!$A$73:$IV$75,[2]MSH51C!$A$92:$IV$94,[2]MSH51C!$A$122:$IV$124,[2]MSH51C!#REF!,[2]MSH51C!#REF!,[2]MSH51C!$A$176:$IV$186</definedName>
    <definedName name="Z_9D737544_22F2_11D3_ACAF_004F490495C0_.wvu.Cols" hidden="1">[1]MSH51C!#REF!,[1]MSH51C!#REF!,[1]MSH51C!$FM$1:$FW$65536</definedName>
    <definedName name="Z_9D737544_22F2_11D3_ACAF_004F490495C0_.wvu.PrintTitles" hidden="1">[1]MSH51C!$B$1:$J$65536,[1]MSH51C!#REF!</definedName>
    <definedName name="Z_9D737544_22F2_11D3_ACAF_004F490495C0_.wvu.Rows" hidden="1">[2]MSH51C!$A$11:$IV$13,[2]MSH51C!$A$17:$IV$27,[2]MSH51C!$A$62:$IV$64,[2]MSH51C!$A$66:$IV$68,[2]MSH51C!$A$70:$IV$71,[2]MSH51C!$A$73:$IV$75,[2]MSH51C!$A$92:$IV$94,[2]MSH51C!$A$122:$IV$124,[2]MSH51C!#REF!,[2]MSH51C!#REF!,[2]MSH51C!$A$176:$IV$186</definedName>
    <definedName name="Z_9D737546_22F2_11D3_ACAF_004F490495C0_.wvu.PrintArea" hidden="1">[1]MSH51C!$GV$176:$HA$187,[1]MSH51C!#REF!,[1]MSH51C!#REF!</definedName>
    <definedName name="Z_9D737546_22F2_11D3_ACAF_004F490495C0_.wvu.PrintTitles" hidden="1">[1]MSH51C!$B$1:$J$65536,[1]MSH51C!#REF!</definedName>
    <definedName name="Z_9D737546_22F2_11D3_ACAF_004F490495C0_.wvu.Rows" hidden="1">[2]MSH51C!$A$11:$IV$13,[2]MSH51C!$A$17:$IV$27,[2]MSH51C!$A$62:$IV$64,[2]MSH51C!$A$66:$IV$68,[2]MSH51C!$A$70:$IV$71,[2]MSH51C!$A$73:$IV$75,[2]MSH51C!$A$92:$IV$94,[2]MSH51C!$A$122:$IV$124,[2]MSH51C!#REF!,[2]MSH51C!#REF!,[2]MSH51C!$A$176:$IV$186</definedName>
    <definedName name="Z_9D737548_22F2_11D3_ACAF_004F490495C0_.wvu.Cols" hidden="1">[1]MSH51C!$C$1:$C$65536,[1]MSH51C!$J$1:$FW$65536</definedName>
    <definedName name="Z_9D737548_22F2_11D3_ACAF_004F490495C0_.wvu.PrintArea" hidden="1">[1]MSH51C!#REF!</definedName>
    <definedName name="Z_9D737548_22F2_11D3_ACAF_004F490495C0_.wvu.PrintTitles" hidden="1">[1]MSH51C!$B$1:$J$65536,[1]MSH51C!#REF!</definedName>
    <definedName name="Z_9D737548_22F2_11D3_ACAF_004F490495C0_.wvu.Rows" hidden="1">[2]MSH51C!$A$11:$IV$13,[2]MSH51C!$A$17:$IV$27,[2]MSH51C!$A$62:$IV$64,[2]MSH51C!$A$66:$IV$68,[2]MSH51C!$A$70:$IV$71,[2]MSH51C!$A$73:$IV$75,[2]MSH51C!$A$92:$IV$94,[2]MSH51C!$A$122:$IV$124,[2]MSH51C!#REF!,[2]MSH51C!#REF!,[2]MSH51C!$A$176:$IV$186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3" l="1"/>
  <c r="U19" i="43"/>
  <c r="D6" i="43"/>
  <c r="E14" i="43"/>
  <c r="G43" i="43" s="1"/>
  <c r="E7" i="39"/>
  <c r="H3" i="39"/>
  <c r="F3" i="39" s="1"/>
  <c r="J3" i="39" s="1"/>
  <c r="K3" i="39"/>
  <c r="I3" i="39"/>
  <c r="M3" i="39" s="1"/>
  <c r="D79" i="17"/>
  <c r="C77" i="17"/>
  <c r="E77" i="17" s="1"/>
  <c r="E78" i="17" s="1"/>
  <c r="B77" i="17"/>
  <c r="B79" i="17"/>
  <c r="D7" i="17"/>
  <c r="B5" i="17"/>
  <c r="C5" i="17"/>
  <c r="C119" i="17" s="1"/>
  <c r="AI143" i="17"/>
  <c r="AH143" i="17"/>
  <c r="AG143" i="17"/>
  <c r="AF143" i="17"/>
  <c r="AE143" i="17"/>
  <c r="AD143" i="17"/>
  <c r="AC143" i="17"/>
  <c r="AB143" i="17"/>
  <c r="AA143" i="17"/>
  <c r="Z143" i="17"/>
  <c r="Y143" i="17"/>
  <c r="X143" i="17"/>
  <c r="W143" i="17"/>
  <c r="V143" i="17"/>
  <c r="U143" i="17"/>
  <c r="T143" i="17"/>
  <c r="S143" i="17"/>
  <c r="R143" i="17"/>
  <c r="Q143" i="17"/>
  <c r="P143" i="17"/>
  <c r="O143" i="17"/>
  <c r="N143" i="17"/>
  <c r="M143" i="17"/>
  <c r="L143" i="17"/>
  <c r="K143" i="17"/>
  <c r="J143" i="17"/>
  <c r="I143" i="17"/>
  <c r="H143" i="17"/>
  <c r="G143" i="17"/>
  <c r="F143" i="17"/>
  <c r="D140" i="17"/>
  <c r="A140" i="17"/>
  <c r="A139" i="17"/>
  <c r="D138" i="17"/>
  <c r="A138" i="17"/>
  <c r="A137" i="17"/>
  <c r="D136" i="17"/>
  <c r="A136" i="17"/>
  <c r="A135" i="17"/>
  <c r="D134" i="17"/>
  <c r="A134" i="17"/>
  <c r="A133" i="17"/>
  <c r="D132" i="17"/>
  <c r="A132" i="17"/>
  <c r="A131" i="17"/>
  <c r="D130" i="17"/>
  <c r="A130" i="17"/>
  <c r="A129" i="17"/>
  <c r="D128" i="17"/>
  <c r="A128" i="17"/>
  <c r="A127" i="17"/>
  <c r="D126" i="17"/>
  <c r="A126" i="17"/>
  <c r="A125" i="17"/>
  <c r="D124" i="17"/>
  <c r="A124" i="17"/>
  <c r="A123" i="17"/>
  <c r="D122" i="17"/>
  <c r="A122" i="17"/>
  <c r="A121" i="17"/>
  <c r="D120" i="17"/>
  <c r="A120" i="17"/>
  <c r="A119" i="17"/>
  <c r="D118" i="17"/>
  <c r="A118" i="17"/>
  <c r="A117" i="17"/>
  <c r="D116" i="17"/>
  <c r="A116" i="17"/>
  <c r="A115" i="17"/>
  <c r="D114" i="17"/>
  <c r="A114" i="17"/>
  <c r="A113" i="17"/>
  <c r="D112" i="17"/>
  <c r="A112" i="17"/>
  <c r="A111" i="17"/>
  <c r="D110" i="17"/>
  <c r="A110" i="17"/>
  <c r="A109" i="17"/>
  <c r="D108" i="17"/>
  <c r="A108" i="17"/>
  <c r="A107" i="17"/>
  <c r="D106" i="17"/>
  <c r="A106" i="17"/>
  <c r="A105" i="17"/>
  <c r="D104" i="17"/>
  <c r="A104" i="17"/>
  <c r="A103" i="17"/>
  <c r="D102" i="17"/>
  <c r="A102" i="17"/>
  <c r="A101" i="17"/>
  <c r="D100" i="17"/>
  <c r="A100" i="17"/>
  <c r="A99" i="17"/>
  <c r="D98" i="17"/>
  <c r="A98" i="17"/>
  <c r="A97" i="17"/>
  <c r="D96" i="17"/>
  <c r="A96" i="17"/>
  <c r="A95" i="17"/>
  <c r="D94" i="17"/>
  <c r="A94" i="17"/>
  <c r="A93" i="17"/>
  <c r="D92" i="17"/>
  <c r="A92" i="17"/>
  <c r="A91" i="17"/>
  <c r="D90" i="17"/>
  <c r="A90" i="17"/>
  <c r="A89" i="17"/>
  <c r="D88" i="17"/>
  <c r="A88" i="17"/>
  <c r="A87" i="17"/>
  <c r="D86" i="17"/>
  <c r="A86" i="17"/>
  <c r="A85" i="17"/>
  <c r="D84" i="17"/>
  <c r="A84" i="17"/>
  <c r="A83" i="17"/>
  <c r="D82" i="17"/>
  <c r="A82" i="17"/>
  <c r="A81" i="17"/>
  <c r="A80" i="17"/>
  <c r="A79" i="17"/>
  <c r="D77" i="17"/>
  <c r="C289" i="16"/>
  <c r="C311" i="16" s="1"/>
  <c r="C218" i="16"/>
  <c r="C147" i="16"/>
  <c r="C76" i="16"/>
  <c r="C5" i="16"/>
  <c r="D349" i="16"/>
  <c r="D347" i="16"/>
  <c r="D345" i="16"/>
  <c r="D343" i="16"/>
  <c r="AE355" i="16" s="1"/>
  <c r="D341" i="16"/>
  <c r="D339" i="16"/>
  <c r="D337" i="16"/>
  <c r="D335" i="16"/>
  <c r="D336" i="16" s="1"/>
  <c r="D333" i="16"/>
  <c r="D331" i="16"/>
  <c r="D329" i="16"/>
  <c r="D327" i="16"/>
  <c r="D325" i="16"/>
  <c r="D323" i="16"/>
  <c r="D321" i="16"/>
  <c r="D319" i="16"/>
  <c r="S355" i="16"/>
  <c r="D317" i="16"/>
  <c r="D315" i="16"/>
  <c r="D313" i="16"/>
  <c r="D314" i="16"/>
  <c r="D311" i="16"/>
  <c r="D309" i="16"/>
  <c r="D307" i="16"/>
  <c r="D305" i="16"/>
  <c r="B289" i="16"/>
  <c r="D303" i="16"/>
  <c r="D301" i="16"/>
  <c r="D299" i="16"/>
  <c r="D297" i="16"/>
  <c r="D295" i="16"/>
  <c r="D293" i="16"/>
  <c r="D291" i="16"/>
  <c r="B218" i="16"/>
  <c r="B147" i="16"/>
  <c r="D78" i="16"/>
  <c r="E142" i="16"/>
  <c r="B76" i="16"/>
  <c r="B98" i="16"/>
  <c r="D11" i="16"/>
  <c r="D9" i="16"/>
  <c r="D7" i="16"/>
  <c r="B5" i="16"/>
  <c r="AH20" i="11"/>
  <c r="AG20" i="11"/>
  <c r="AF20" i="11"/>
  <c r="AE20" i="11"/>
  <c r="AD20" i="11"/>
  <c r="AC20" i="11"/>
  <c r="AB20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B9" i="41"/>
  <c r="H23" i="9"/>
  <c r="G23" i="9"/>
  <c r="F23" i="9"/>
  <c r="E23" i="9"/>
  <c r="H21" i="9"/>
  <c r="H17" i="8" s="1"/>
  <c r="G21" i="9"/>
  <c r="G17" i="8" s="1"/>
  <c r="F21" i="9"/>
  <c r="F17" i="8" s="1"/>
  <c r="E21" i="9"/>
  <c r="E17" i="8" s="1"/>
  <c r="D21" i="9"/>
  <c r="D17" i="8" s="1"/>
  <c r="C21" i="9"/>
  <c r="C17" i="8" s="1"/>
  <c r="C35" i="7"/>
  <c r="D35" i="7" s="1"/>
  <c r="E35" i="7" s="1"/>
  <c r="F35" i="7" s="1"/>
  <c r="G35" i="7" s="1"/>
  <c r="H35" i="7" s="1"/>
  <c r="I35" i="7" s="1"/>
  <c r="J35" i="7" s="1"/>
  <c r="K35" i="7" s="1"/>
  <c r="L35" i="7" s="1"/>
  <c r="M35" i="7" s="1"/>
  <c r="N35" i="7" s="1"/>
  <c r="O35" i="7" s="1"/>
  <c r="P35" i="7" s="1"/>
  <c r="Q35" i="7" s="1"/>
  <c r="R35" i="7" s="1"/>
  <c r="S35" i="7" s="1"/>
  <c r="T35" i="7" s="1"/>
  <c r="U35" i="7" s="1"/>
  <c r="V35" i="7" s="1"/>
  <c r="W35" i="7" s="1"/>
  <c r="X35" i="7" s="1"/>
  <c r="Y35" i="7" s="1"/>
  <c r="Z35" i="7" s="1"/>
  <c r="AA35" i="7" s="1"/>
  <c r="AB35" i="7" s="1"/>
  <c r="AC35" i="7" s="1"/>
  <c r="AD35" i="7" s="1"/>
  <c r="AE35" i="7" s="1"/>
  <c r="AF35" i="7" s="1"/>
  <c r="AG35" i="7" s="1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B17" i="8"/>
  <c r="T20" i="46"/>
  <c r="T21" i="46"/>
  <c r="S22" i="46"/>
  <c r="T23" i="46"/>
  <c r="T24" i="46"/>
  <c r="T25" i="46"/>
  <c r="T26" i="46"/>
  <c r="T27" i="46"/>
  <c r="T28" i="46"/>
  <c r="T29" i="46"/>
  <c r="T30" i="46"/>
  <c r="T31" i="46"/>
  <c r="T32" i="46"/>
  <c r="T33" i="46"/>
  <c r="T34" i="46"/>
  <c r="T35" i="46"/>
  <c r="T36" i="46"/>
  <c r="T37" i="46"/>
  <c r="T38" i="46"/>
  <c r="T39" i="46"/>
  <c r="T40" i="46"/>
  <c r="T41" i="46"/>
  <c r="T42" i="46"/>
  <c r="S43" i="46"/>
  <c r="T44" i="46"/>
  <c r="T45" i="46"/>
  <c r="T46" i="46"/>
  <c r="T47" i="46"/>
  <c r="S48" i="46"/>
  <c r="S49" i="46"/>
  <c r="S50" i="46"/>
  <c r="T51" i="46"/>
  <c r="S52" i="46"/>
  <c r="S53" i="46"/>
  <c r="S54" i="46"/>
  <c r="S55" i="46"/>
  <c r="S56" i="46"/>
  <c r="S57" i="46"/>
  <c r="S58" i="46"/>
  <c r="S59" i="46"/>
  <c r="S60" i="46"/>
  <c r="S61" i="46"/>
  <c r="S62" i="46"/>
  <c r="S63" i="46"/>
  <c r="S64" i="46"/>
  <c r="S65" i="46"/>
  <c r="S66" i="46"/>
  <c r="S67" i="46"/>
  <c r="S68" i="46"/>
  <c r="S69" i="46"/>
  <c r="S70" i="46"/>
  <c r="S71" i="46"/>
  <c r="S72" i="46"/>
  <c r="S73" i="46"/>
  <c r="S74" i="46"/>
  <c r="S75" i="46"/>
  <c r="S76" i="46"/>
  <c r="S77" i="46"/>
  <c r="S78" i="46"/>
  <c r="S79" i="46"/>
  <c r="S80" i="46"/>
  <c r="S81" i="46"/>
  <c r="S82" i="46"/>
  <c r="S83" i="46"/>
  <c r="S84" i="46"/>
  <c r="S85" i="46"/>
  <c r="S86" i="46"/>
  <c r="S87" i="46"/>
  <c r="S88" i="46"/>
  <c r="S89" i="46"/>
  <c r="S90" i="46"/>
  <c r="S91" i="46"/>
  <c r="S92" i="46"/>
  <c r="S93" i="46"/>
  <c r="S94" i="46"/>
  <c r="S95" i="46"/>
  <c r="S96" i="46"/>
  <c r="S97" i="46"/>
  <c r="S98" i="46"/>
  <c r="S99" i="46"/>
  <c r="S100" i="46"/>
  <c r="S101" i="46"/>
  <c r="S102" i="46"/>
  <c r="S103" i="46"/>
  <c r="S104" i="46"/>
  <c r="T105" i="46"/>
  <c r="S106" i="46"/>
  <c r="S107" i="46"/>
  <c r="S108" i="46"/>
  <c r="T109" i="46"/>
  <c r="S110" i="46"/>
  <c r="S111" i="46"/>
  <c r="S112" i="46"/>
  <c r="S113" i="46"/>
  <c r="S114" i="46"/>
  <c r="S115" i="46"/>
  <c r="S116" i="46"/>
  <c r="S117" i="46"/>
  <c r="S118" i="46"/>
  <c r="S119" i="46"/>
  <c r="S120" i="46"/>
  <c r="S121" i="46"/>
  <c r="S122" i="46"/>
  <c r="S123" i="46"/>
  <c r="S124" i="46"/>
  <c r="S125" i="46"/>
  <c r="S126" i="46"/>
  <c r="S127" i="46"/>
  <c r="S128" i="46"/>
  <c r="S129" i="46"/>
  <c r="S130" i="46"/>
  <c r="S131" i="46"/>
  <c r="S132" i="46"/>
  <c r="S133" i="46"/>
  <c r="S134" i="46"/>
  <c r="S135" i="46"/>
  <c r="S136" i="46"/>
  <c r="S137" i="46"/>
  <c r="S138" i="46"/>
  <c r="S139" i="46"/>
  <c r="S140" i="46"/>
  <c r="S141" i="46"/>
  <c r="S142" i="46"/>
  <c r="T143" i="46"/>
  <c r="S144" i="46"/>
  <c r="S145" i="46"/>
  <c r="S146" i="46"/>
  <c r="S147" i="46"/>
  <c r="S148" i="46"/>
  <c r="S149" i="46"/>
  <c r="S150" i="46"/>
  <c r="S151" i="46"/>
  <c r="S152" i="46"/>
  <c r="S153" i="46"/>
  <c r="S154" i="46"/>
  <c r="S155" i="46"/>
  <c r="S156" i="46"/>
  <c r="S157" i="46"/>
  <c r="S158" i="46"/>
  <c r="S159" i="46"/>
  <c r="S160" i="46"/>
  <c r="S161" i="46"/>
  <c r="S162" i="46"/>
  <c r="S163" i="46"/>
  <c r="S164" i="46"/>
  <c r="S165" i="46"/>
  <c r="S166" i="46"/>
  <c r="S167" i="46"/>
  <c r="T168" i="46"/>
  <c r="S169" i="46"/>
  <c r="S170" i="46"/>
  <c r="S171" i="46"/>
  <c r="S172" i="46"/>
  <c r="S173" i="46"/>
  <c r="S174" i="46"/>
  <c r="S175" i="46"/>
  <c r="S176" i="46"/>
  <c r="S177" i="46"/>
  <c r="S178" i="46"/>
  <c r="S179" i="46"/>
  <c r="S180" i="46"/>
  <c r="S181" i="46"/>
  <c r="S182" i="46"/>
  <c r="S183" i="46"/>
  <c r="S184" i="46"/>
  <c r="S185" i="46"/>
  <c r="S186" i="46"/>
  <c r="S187" i="46"/>
  <c r="S188" i="46"/>
  <c r="S189" i="46"/>
  <c r="S190" i="46"/>
  <c r="S191" i="46"/>
  <c r="S192" i="46"/>
  <c r="S193" i="46"/>
  <c r="S194" i="46"/>
  <c r="S195" i="46"/>
  <c r="S196" i="46"/>
  <c r="S197" i="46"/>
  <c r="S198" i="46"/>
  <c r="S199" i="46"/>
  <c r="S200" i="46"/>
  <c r="S201" i="46"/>
  <c r="S202" i="46"/>
  <c r="S203" i="46"/>
  <c r="S204" i="46"/>
  <c r="S205" i="46"/>
  <c r="S206" i="46"/>
  <c r="S207" i="46"/>
  <c r="S208" i="46"/>
  <c r="S209" i="46"/>
  <c r="S210" i="46"/>
  <c r="S211" i="46"/>
  <c r="S212" i="46"/>
  <c r="S213" i="46"/>
  <c r="S214" i="46"/>
  <c r="S215" i="46"/>
  <c r="S216" i="46"/>
  <c r="S217" i="46"/>
  <c r="S218" i="46"/>
  <c r="S219" i="46"/>
  <c r="S220" i="46"/>
  <c r="S221" i="46"/>
  <c r="S222" i="46"/>
  <c r="S223" i="46"/>
  <c r="S224" i="46"/>
  <c r="S225" i="46"/>
  <c r="S226" i="46"/>
  <c r="S227" i="46"/>
  <c r="S228" i="46"/>
  <c r="S229" i="46"/>
  <c r="S230" i="46"/>
  <c r="S231" i="46"/>
  <c r="S232" i="46"/>
  <c r="S233" i="46"/>
  <c r="S234" i="46"/>
  <c r="S235" i="46"/>
  <c r="S236" i="46"/>
  <c r="S237" i="46"/>
  <c r="S238" i="46"/>
  <c r="S239" i="46"/>
  <c r="S240" i="46"/>
  <c r="S241" i="46"/>
  <c r="S242" i="46"/>
  <c r="S243" i="46"/>
  <c r="S244" i="46"/>
  <c r="S245" i="46"/>
  <c r="S246" i="46"/>
  <c r="S247" i="46"/>
  <c r="S248" i="46"/>
  <c r="S249" i="46"/>
  <c r="S250" i="46"/>
  <c r="S251" i="46"/>
  <c r="S252" i="46"/>
  <c r="S253" i="46"/>
  <c r="S254" i="46"/>
  <c r="S255" i="46"/>
  <c r="S256" i="46"/>
  <c r="S257" i="46"/>
  <c r="S258" i="46"/>
  <c r="S259" i="46"/>
  <c r="S260" i="46"/>
  <c r="S261" i="46"/>
  <c r="S262" i="46"/>
  <c r="S263" i="46"/>
  <c r="S264" i="46"/>
  <c r="S265" i="46"/>
  <c r="S266" i="46"/>
  <c r="S267" i="46"/>
  <c r="S268" i="46"/>
  <c r="S269" i="46"/>
  <c r="S270" i="46"/>
  <c r="S271" i="46"/>
  <c r="S272" i="46"/>
  <c r="S273" i="46"/>
  <c r="S274" i="46"/>
  <c r="S275" i="46"/>
  <c r="T19" i="46"/>
  <c r="C278" i="46"/>
  <c r="O275" i="46"/>
  <c r="Q275" i="46" s="1"/>
  <c r="L275" i="46"/>
  <c r="O274" i="46"/>
  <c r="Q274" i="46" s="1"/>
  <c r="L274" i="46"/>
  <c r="O273" i="46"/>
  <c r="Q273" i="46"/>
  <c r="L273" i="46"/>
  <c r="O272" i="46"/>
  <c r="Q272" i="46" s="1"/>
  <c r="L272" i="46"/>
  <c r="O271" i="46"/>
  <c r="Q271" i="46" s="1"/>
  <c r="L271" i="46"/>
  <c r="O270" i="46"/>
  <c r="Q270" i="46"/>
  <c r="L270" i="46"/>
  <c r="O269" i="46"/>
  <c r="Q269" i="46"/>
  <c r="L269" i="46"/>
  <c r="O268" i="46"/>
  <c r="Q268" i="46" s="1"/>
  <c r="L268" i="46"/>
  <c r="O267" i="46"/>
  <c r="Q267" i="46" s="1"/>
  <c r="L267" i="46"/>
  <c r="O266" i="46"/>
  <c r="Q266" i="46" s="1"/>
  <c r="L266" i="46"/>
  <c r="O265" i="46"/>
  <c r="Q265" i="46"/>
  <c r="L265" i="46"/>
  <c r="O264" i="46"/>
  <c r="Q264" i="46" s="1"/>
  <c r="L264" i="46"/>
  <c r="O263" i="46"/>
  <c r="Q263" i="46" s="1"/>
  <c r="L263" i="46"/>
  <c r="O262" i="46"/>
  <c r="Q262" i="46"/>
  <c r="L262" i="46"/>
  <c r="O261" i="46"/>
  <c r="Q261" i="46"/>
  <c r="L261" i="46"/>
  <c r="O260" i="46"/>
  <c r="Q260" i="46" s="1"/>
  <c r="L260" i="46"/>
  <c r="O259" i="46"/>
  <c r="Q259" i="46" s="1"/>
  <c r="L259" i="46"/>
  <c r="O258" i="46"/>
  <c r="Q258" i="46" s="1"/>
  <c r="L258" i="46"/>
  <c r="O257" i="46"/>
  <c r="Q257" i="46"/>
  <c r="L257" i="46"/>
  <c r="O256" i="46"/>
  <c r="Q256" i="46" s="1"/>
  <c r="L256" i="46"/>
  <c r="O255" i="46"/>
  <c r="Q255" i="46" s="1"/>
  <c r="L255" i="46"/>
  <c r="O254" i="46"/>
  <c r="Q254" i="46" s="1"/>
  <c r="L254" i="46"/>
  <c r="O253" i="46"/>
  <c r="Q253" i="46" s="1"/>
  <c r="L253" i="46"/>
  <c r="O252" i="46"/>
  <c r="Q252" i="46"/>
  <c r="L252" i="46"/>
  <c r="O251" i="46"/>
  <c r="Q251" i="46" s="1"/>
  <c r="L251" i="46"/>
  <c r="O250" i="46"/>
  <c r="Q250" i="46" s="1"/>
  <c r="L250" i="46"/>
  <c r="O249" i="46"/>
  <c r="Q249" i="46"/>
  <c r="L249" i="46"/>
  <c r="O248" i="46"/>
  <c r="Q248" i="46"/>
  <c r="L248" i="46"/>
  <c r="O247" i="46"/>
  <c r="Q247" i="46"/>
  <c r="L247" i="46"/>
  <c r="O246" i="46"/>
  <c r="Q246" i="46" s="1"/>
  <c r="L246" i="46"/>
  <c r="O245" i="46"/>
  <c r="Q245" i="46" s="1"/>
  <c r="L245" i="46"/>
  <c r="O244" i="46"/>
  <c r="Q244" i="46" s="1"/>
  <c r="L244" i="46"/>
  <c r="O243" i="46"/>
  <c r="Q243" i="46" s="1"/>
  <c r="L243" i="46"/>
  <c r="O242" i="46"/>
  <c r="Q242" i="46"/>
  <c r="L242" i="46"/>
  <c r="O241" i="46"/>
  <c r="Q241" i="46"/>
  <c r="L241" i="46"/>
  <c r="O240" i="46"/>
  <c r="Q240" i="46" s="1"/>
  <c r="L240" i="46"/>
  <c r="O239" i="46"/>
  <c r="Q239" i="46" s="1"/>
  <c r="L239" i="46"/>
  <c r="O238" i="46"/>
  <c r="Q238" i="46"/>
  <c r="L238" i="46"/>
  <c r="O237" i="46"/>
  <c r="Q237" i="46"/>
  <c r="L237" i="46"/>
  <c r="O236" i="46"/>
  <c r="Q236" i="46"/>
  <c r="L236" i="46"/>
  <c r="O235" i="46"/>
  <c r="Q235" i="46" s="1"/>
  <c r="L235" i="46"/>
  <c r="O234" i="46"/>
  <c r="Q234" i="46" s="1"/>
  <c r="L234" i="46"/>
  <c r="O233" i="46"/>
  <c r="Q233" i="46" s="1"/>
  <c r="L233" i="46"/>
  <c r="O232" i="46"/>
  <c r="Q232" i="46"/>
  <c r="L232" i="46"/>
  <c r="O231" i="46"/>
  <c r="Q231" i="46" s="1"/>
  <c r="L231" i="46"/>
  <c r="O230" i="46"/>
  <c r="Q230" i="46" s="1"/>
  <c r="L230" i="46"/>
  <c r="O229" i="46"/>
  <c r="Q229" i="46" s="1"/>
  <c r="L229" i="46"/>
  <c r="O228" i="46"/>
  <c r="Q228" i="46" s="1"/>
  <c r="L228" i="46"/>
  <c r="O227" i="46"/>
  <c r="Q227" i="46" s="1"/>
  <c r="L227" i="46"/>
  <c r="O226" i="46"/>
  <c r="Q226" i="46" s="1"/>
  <c r="L226" i="46"/>
  <c r="O225" i="46"/>
  <c r="Q225" i="46"/>
  <c r="L225" i="46"/>
  <c r="O224" i="46"/>
  <c r="Q224" i="46" s="1"/>
  <c r="L224" i="46"/>
  <c r="O223" i="46"/>
  <c r="Q223" i="46"/>
  <c r="L223" i="46"/>
  <c r="O222" i="46"/>
  <c r="Q222" i="46" s="1"/>
  <c r="L222" i="46"/>
  <c r="O221" i="46"/>
  <c r="Q221" i="46" s="1"/>
  <c r="L221" i="46"/>
  <c r="O220" i="46"/>
  <c r="Q220" i="46"/>
  <c r="L220" i="46"/>
  <c r="O219" i="46"/>
  <c r="Q219" i="46" s="1"/>
  <c r="L219" i="46"/>
  <c r="O218" i="46"/>
  <c r="Q218" i="46"/>
  <c r="L218" i="46"/>
  <c r="O217" i="46"/>
  <c r="Q217" i="46"/>
  <c r="L217" i="46"/>
  <c r="O216" i="46"/>
  <c r="Q216" i="46"/>
  <c r="L216" i="46"/>
  <c r="O215" i="46"/>
  <c r="Q215" i="46" s="1"/>
  <c r="L215" i="46"/>
  <c r="O214" i="46"/>
  <c r="Q214" i="46" s="1"/>
  <c r="L214" i="46"/>
  <c r="O213" i="46"/>
  <c r="Q213" i="46" s="1"/>
  <c r="L213" i="46"/>
  <c r="O212" i="46"/>
  <c r="Q212" i="46"/>
  <c r="L212" i="46"/>
  <c r="O211" i="46"/>
  <c r="Q211" i="46" s="1"/>
  <c r="L211" i="46"/>
  <c r="O210" i="46"/>
  <c r="Q210" i="46" s="1"/>
  <c r="L210" i="46"/>
  <c r="O209" i="46"/>
  <c r="Q209" i="46"/>
  <c r="L209" i="46"/>
  <c r="O208" i="46"/>
  <c r="Q208" i="46"/>
  <c r="L208" i="46"/>
  <c r="O207" i="46"/>
  <c r="Q207" i="46" s="1"/>
  <c r="L207" i="46"/>
  <c r="O206" i="46"/>
  <c r="Q206" i="46" s="1"/>
  <c r="L206" i="46"/>
  <c r="O205" i="46"/>
  <c r="Q205" i="46" s="1"/>
  <c r="L205" i="46"/>
  <c r="O204" i="46"/>
  <c r="Q204" i="46" s="1"/>
  <c r="L204" i="46"/>
  <c r="O203" i="46"/>
  <c r="Q203" i="46" s="1"/>
  <c r="L203" i="46"/>
  <c r="O202" i="46"/>
  <c r="Q202" i="46"/>
  <c r="L202" i="46"/>
  <c r="O201" i="46"/>
  <c r="Q201" i="46"/>
  <c r="L201" i="46"/>
  <c r="O200" i="46"/>
  <c r="Q200" i="46" s="1"/>
  <c r="L200" i="46"/>
  <c r="O199" i="46"/>
  <c r="Q199" i="46" s="1"/>
  <c r="L199" i="46"/>
  <c r="O198" i="46"/>
  <c r="Q198" i="46" s="1"/>
  <c r="L198" i="46"/>
  <c r="O197" i="46"/>
  <c r="Q197" i="46"/>
  <c r="L197" i="46"/>
  <c r="O196" i="46"/>
  <c r="Q196" i="46" s="1"/>
  <c r="L196" i="46"/>
  <c r="O195" i="46"/>
  <c r="Q195" i="46"/>
  <c r="L195" i="46"/>
  <c r="O194" i="46"/>
  <c r="Q194" i="46"/>
  <c r="L194" i="46"/>
  <c r="O193" i="46"/>
  <c r="Q193" i="46"/>
  <c r="L193" i="46"/>
  <c r="O192" i="46"/>
  <c r="Q192" i="46" s="1"/>
  <c r="L192" i="46"/>
  <c r="O191" i="46"/>
  <c r="Q191" i="46" s="1"/>
  <c r="L191" i="46"/>
  <c r="O190" i="46"/>
  <c r="Q190" i="46"/>
  <c r="L190" i="46"/>
  <c r="O189" i="46"/>
  <c r="Q189" i="46"/>
  <c r="L189" i="46"/>
  <c r="O188" i="46"/>
  <c r="Q188" i="46"/>
  <c r="L188" i="46"/>
  <c r="O187" i="46"/>
  <c r="Q187" i="46" s="1"/>
  <c r="L187" i="46"/>
  <c r="O186" i="46"/>
  <c r="Q186" i="46" s="1"/>
  <c r="L186" i="46"/>
  <c r="O185" i="46"/>
  <c r="Q185" i="46"/>
  <c r="L185" i="46"/>
  <c r="O184" i="46"/>
  <c r="Q184" i="46"/>
  <c r="L184" i="46"/>
  <c r="O183" i="46"/>
  <c r="Q183" i="46"/>
  <c r="L183" i="46"/>
  <c r="O182" i="46"/>
  <c r="Q182" i="46" s="1"/>
  <c r="L182" i="46"/>
  <c r="O181" i="46"/>
  <c r="Q181" i="46" s="1"/>
  <c r="L181" i="46"/>
  <c r="O180" i="46"/>
  <c r="Q180" i="46" s="1"/>
  <c r="L180" i="46"/>
  <c r="O179" i="46"/>
  <c r="Q179" i="46"/>
  <c r="L179" i="46"/>
  <c r="O178" i="46"/>
  <c r="Q178" i="46" s="1"/>
  <c r="L178" i="46"/>
  <c r="O177" i="46"/>
  <c r="Q177" i="46"/>
  <c r="L177" i="46"/>
  <c r="O176" i="46"/>
  <c r="Q176" i="46"/>
  <c r="L176" i="46"/>
  <c r="O175" i="46"/>
  <c r="Q175" i="46"/>
  <c r="L175" i="46"/>
  <c r="O174" i="46"/>
  <c r="Q174" i="46"/>
  <c r="L174" i="46"/>
  <c r="O173" i="46"/>
  <c r="Q173" i="46"/>
  <c r="L173" i="46"/>
  <c r="O172" i="46"/>
  <c r="Q172" i="46"/>
  <c r="L172" i="46"/>
  <c r="O171" i="46"/>
  <c r="Q171" i="46" s="1"/>
  <c r="L171" i="46"/>
  <c r="O170" i="46"/>
  <c r="Q170" i="46" s="1"/>
  <c r="L170" i="46"/>
  <c r="O169" i="46"/>
  <c r="Q169" i="46" s="1"/>
  <c r="L169" i="46"/>
  <c r="O168" i="46"/>
  <c r="P168" i="46" s="1"/>
  <c r="L168" i="46"/>
  <c r="O167" i="46"/>
  <c r="Q167" i="46"/>
  <c r="L167" i="46"/>
  <c r="O166" i="46"/>
  <c r="Q166" i="46" s="1"/>
  <c r="L166" i="46"/>
  <c r="O165" i="46"/>
  <c r="Q165" i="46"/>
  <c r="L165" i="46"/>
  <c r="O164" i="46"/>
  <c r="Q164" i="46"/>
  <c r="L164" i="46"/>
  <c r="O163" i="46"/>
  <c r="Q163" i="46"/>
  <c r="L163" i="46"/>
  <c r="O162" i="46"/>
  <c r="Q162" i="46" s="1"/>
  <c r="L162" i="46"/>
  <c r="O161" i="46"/>
  <c r="Q161" i="46" s="1"/>
  <c r="L161" i="46"/>
  <c r="O160" i="46"/>
  <c r="Q160" i="46" s="1"/>
  <c r="L160" i="46"/>
  <c r="O159" i="46"/>
  <c r="Q159" i="46"/>
  <c r="L159" i="46"/>
  <c r="O158" i="46"/>
  <c r="Q158" i="46"/>
  <c r="L158" i="46"/>
  <c r="O157" i="46"/>
  <c r="Q157" i="46"/>
  <c r="L157" i="46"/>
  <c r="O156" i="46"/>
  <c r="Q156" i="46"/>
  <c r="L156" i="46"/>
  <c r="O155" i="46"/>
  <c r="Q155" i="46" s="1"/>
  <c r="L155" i="46"/>
  <c r="O154" i="46"/>
  <c r="Q154" i="46" s="1"/>
  <c r="L154" i="46"/>
  <c r="O153" i="46"/>
  <c r="Q153" i="46" s="1"/>
  <c r="L153" i="46"/>
  <c r="O152" i="46"/>
  <c r="Q152" i="46"/>
  <c r="L152" i="46"/>
  <c r="O151" i="46"/>
  <c r="Q151" i="46"/>
  <c r="L151" i="46"/>
  <c r="O150" i="46"/>
  <c r="Q150" i="46"/>
  <c r="L150" i="46"/>
  <c r="O149" i="46"/>
  <c r="Q149" i="46"/>
  <c r="L149" i="46"/>
  <c r="O148" i="46"/>
  <c r="Q148" i="46" s="1"/>
  <c r="L148" i="46"/>
  <c r="O147" i="46"/>
  <c r="Q147" i="46"/>
  <c r="L147" i="46"/>
  <c r="O146" i="46"/>
  <c r="Q146" i="46" s="1"/>
  <c r="L146" i="46"/>
  <c r="O145" i="46"/>
  <c r="Q145" i="46" s="1"/>
  <c r="L145" i="46"/>
  <c r="O144" i="46"/>
  <c r="Q144" i="46"/>
  <c r="L144" i="46"/>
  <c r="O143" i="46"/>
  <c r="P143" i="46"/>
  <c r="L143" i="46"/>
  <c r="O142" i="46"/>
  <c r="Q142" i="46" s="1"/>
  <c r="L142" i="46"/>
  <c r="O141" i="46"/>
  <c r="Q141" i="46" s="1"/>
  <c r="L141" i="46"/>
  <c r="O140" i="46"/>
  <c r="Q140" i="46" s="1"/>
  <c r="L140" i="46"/>
  <c r="O139" i="46"/>
  <c r="Q139" i="46"/>
  <c r="L139" i="46"/>
  <c r="O138" i="46"/>
  <c r="Q138" i="46"/>
  <c r="L138" i="46"/>
  <c r="O137" i="46"/>
  <c r="Q137" i="46" s="1"/>
  <c r="L137" i="46"/>
  <c r="O136" i="46"/>
  <c r="Q136" i="46" s="1"/>
  <c r="L136" i="46"/>
  <c r="O135" i="46"/>
  <c r="Q135" i="46" s="1"/>
  <c r="L135" i="46"/>
  <c r="O134" i="46"/>
  <c r="Q134" i="46"/>
  <c r="L134" i="46"/>
  <c r="O133" i="46"/>
  <c r="Q133" i="46"/>
  <c r="L133" i="46"/>
  <c r="O132" i="46"/>
  <c r="Q132" i="46" s="1"/>
  <c r="L132" i="46"/>
  <c r="O131" i="46"/>
  <c r="Q131" i="46" s="1"/>
  <c r="L131" i="46"/>
  <c r="O130" i="46"/>
  <c r="Q130" i="46" s="1"/>
  <c r="L130" i="46"/>
  <c r="O129" i="46"/>
  <c r="Q129" i="46"/>
  <c r="L129" i="46"/>
  <c r="O128" i="46"/>
  <c r="Q128" i="46"/>
  <c r="L128" i="46"/>
  <c r="O127" i="46"/>
  <c r="Q127" i="46"/>
  <c r="L127" i="46"/>
  <c r="O126" i="46"/>
  <c r="Q126" i="46"/>
  <c r="L126" i="46"/>
  <c r="O125" i="46"/>
  <c r="Q125" i="46"/>
  <c r="L125" i="46"/>
  <c r="O124" i="46"/>
  <c r="Q124" i="46" s="1"/>
  <c r="L124" i="46"/>
  <c r="O123" i="46"/>
  <c r="Q123" i="46" s="1"/>
  <c r="L123" i="46"/>
  <c r="O122" i="46"/>
  <c r="Q122" i="46"/>
  <c r="L122" i="46"/>
  <c r="O121" i="46"/>
  <c r="Q121" i="46"/>
  <c r="L121" i="46"/>
  <c r="O120" i="46"/>
  <c r="Q120" i="46"/>
  <c r="L120" i="46"/>
  <c r="O119" i="46"/>
  <c r="Q119" i="46" s="1"/>
  <c r="L119" i="46"/>
  <c r="O118" i="46"/>
  <c r="Q118" i="46"/>
  <c r="L118" i="46"/>
  <c r="O117" i="46"/>
  <c r="Q117" i="46"/>
  <c r="L117" i="46"/>
  <c r="O116" i="46"/>
  <c r="Q116" i="46" s="1"/>
  <c r="L116" i="46"/>
  <c r="O115" i="46"/>
  <c r="Q115" i="46" s="1"/>
  <c r="L115" i="46"/>
  <c r="O114" i="46"/>
  <c r="Q114" i="46"/>
  <c r="L114" i="46"/>
  <c r="O113" i="46"/>
  <c r="Q113" i="46"/>
  <c r="L113" i="46"/>
  <c r="O112" i="46"/>
  <c r="Q112" i="46" s="1"/>
  <c r="L112" i="46"/>
  <c r="O111" i="46"/>
  <c r="Q111" i="46"/>
  <c r="L111" i="46"/>
  <c r="O110" i="46"/>
  <c r="Q110" i="46"/>
  <c r="L110" i="46"/>
  <c r="O109" i="46"/>
  <c r="P109" i="46" s="1"/>
  <c r="L109" i="46"/>
  <c r="O108" i="46"/>
  <c r="Q108" i="46" s="1"/>
  <c r="L108" i="46"/>
  <c r="O107" i="46"/>
  <c r="Q107" i="46" s="1"/>
  <c r="L107" i="46"/>
  <c r="O106" i="46"/>
  <c r="Q106" i="46"/>
  <c r="L106" i="46"/>
  <c r="O105" i="46"/>
  <c r="P105" i="46"/>
  <c r="L105" i="46"/>
  <c r="O104" i="46"/>
  <c r="Q104" i="46" s="1"/>
  <c r="L104" i="46"/>
  <c r="O103" i="46"/>
  <c r="Q103" i="46"/>
  <c r="L103" i="46"/>
  <c r="O102" i="46"/>
  <c r="Q102" i="46"/>
  <c r="L102" i="46"/>
  <c r="O101" i="46"/>
  <c r="Q101" i="46" s="1"/>
  <c r="L101" i="46"/>
  <c r="O100" i="46"/>
  <c r="Q100" i="46" s="1"/>
  <c r="L100" i="46"/>
  <c r="O99" i="46"/>
  <c r="Q99" i="46" s="1"/>
  <c r="L99" i="46"/>
  <c r="O98" i="46"/>
  <c r="Q98" i="46"/>
  <c r="L98" i="46"/>
  <c r="O97" i="46"/>
  <c r="Q97" i="46"/>
  <c r="L97" i="46"/>
  <c r="O96" i="46"/>
  <c r="Q96" i="46" s="1"/>
  <c r="L96" i="46"/>
  <c r="O95" i="46"/>
  <c r="Q95" i="46" s="1"/>
  <c r="L95" i="46"/>
  <c r="O94" i="46"/>
  <c r="Q94" i="46" s="1"/>
  <c r="L94" i="46"/>
  <c r="O93" i="46"/>
  <c r="Q93" i="46"/>
  <c r="L93" i="46"/>
  <c r="O92" i="46"/>
  <c r="Q92" i="46"/>
  <c r="L92" i="46"/>
  <c r="O91" i="46"/>
  <c r="Q91" i="46" s="1"/>
  <c r="L91" i="46"/>
  <c r="O90" i="46"/>
  <c r="Q90" i="46"/>
  <c r="L90" i="46"/>
  <c r="O89" i="46"/>
  <c r="Q89" i="46"/>
  <c r="L89" i="46"/>
  <c r="O88" i="46"/>
  <c r="Q88" i="46"/>
  <c r="L88" i="46"/>
  <c r="O87" i="46"/>
  <c r="Q87" i="46"/>
  <c r="L87" i="46"/>
  <c r="O86" i="46"/>
  <c r="Q86" i="46"/>
  <c r="L86" i="46"/>
  <c r="O85" i="46"/>
  <c r="Q85" i="46" s="1"/>
  <c r="L85" i="46"/>
  <c r="O84" i="46"/>
  <c r="Q84" i="46" s="1"/>
  <c r="L84" i="46"/>
  <c r="O83" i="46"/>
  <c r="Q83" i="46"/>
  <c r="L83" i="46"/>
  <c r="O82" i="46"/>
  <c r="Q82" i="46"/>
  <c r="L82" i="46"/>
  <c r="O81" i="46"/>
  <c r="Q81" i="46"/>
  <c r="L81" i="46"/>
  <c r="O80" i="46"/>
  <c r="Q80" i="46"/>
  <c r="L80" i="46"/>
  <c r="O79" i="46"/>
  <c r="Q79" i="46"/>
  <c r="L79" i="46"/>
  <c r="O78" i="46"/>
  <c r="Q78" i="46"/>
  <c r="L78" i="46"/>
  <c r="O77" i="46"/>
  <c r="Q77" i="46" s="1"/>
  <c r="L77" i="46"/>
  <c r="O76" i="46"/>
  <c r="Q76" i="46" s="1"/>
  <c r="L76" i="46"/>
  <c r="O75" i="46"/>
  <c r="Q75" i="46"/>
  <c r="L75" i="46"/>
  <c r="O74" i="46"/>
  <c r="Q74" i="46"/>
  <c r="L74" i="46"/>
  <c r="O73" i="46"/>
  <c r="Q73" i="46"/>
  <c r="L73" i="46"/>
  <c r="O72" i="46"/>
  <c r="Q72" i="46"/>
  <c r="L72" i="46"/>
  <c r="O71" i="46"/>
  <c r="Q71" i="46"/>
  <c r="L71" i="46"/>
  <c r="O70" i="46"/>
  <c r="Q70" i="46"/>
  <c r="L70" i="46"/>
  <c r="O69" i="46"/>
  <c r="Q69" i="46"/>
  <c r="L69" i="46"/>
  <c r="O68" i="46"/>
  <c r="Q68" i="46" s="1"/>
  <c r="L68" i="46"/>
  <c r="O67" i="46"/>
  <c r="Q67" i="46" s="1"/>
  <c r="L67" i="46"/>
  <c r="O66" i="46"/>
  <c r="Q66" i="46"/>
  <c r="L66" i="46"/>
  <c r="O65" i="46"/>
  <c r="Q65" i="46"/>
  <c r="L65" i="46"/>
  <c r="O64" i="46"/>
  <c r="Q64" i="46"/>
  <c r="L64" i="46"/>
  <c r="O63" i="46"/>
  <c r="Q63" i="46" s="1"/>
  <c r="L63" i="46"/>
  <c r="O62" i="46"/>
  <c r="Q62" i="46" s="1"/>
  <c r="L62" i="46"/>
  <c r="O61" i="46"/>
  <c r="Q61" i="46" s="1"/>
  <c r="L61" i="46"/>
  <c r="O60" i="46"/>
  <c r="Q60" i="46"/>
  <c r="L60" i="46"/>
  <c r="O59" i="46"/>
  <c r="Q59" i="46"/>
  <c r="L59" i="46"/>
  <c r="O58" i="46"/>
  <c r="Q58" i="46" s="1"/>
  <c r="L58" i="46"/>
  <c r="O57" i="46"/>
  <c r="Q57" i="46" s="1"/>
  <c r="L57" i="46"/>
  <c r="O56" i="46"/>
  <c r="Q56" i="46" s="1"/>
  <c r="L56" i="46"/>
  <c r="O55" i="46"/>
  <c r="Q55" i="46"/>
  <c r="L55" i="46"/>
  <c r="O54" i="46"/>
  <c r="Q54" i="46"/>
  <c r="L54" i="46"/>
  <c r="O53" i="46"/>
  <c r="Q53" i="46"/>
  <c r="L53" i="46"/>
  <c r="O52" i="46"/>
  <c r="Q52" i="46"/>
  <c r="L52" i="46"/>
  <c r="O51" i="46"/>
  <c r="P51" i="46"/>
  <c r="L51" i="46"/>
  <c r="O50" i="46"/>
  <c r="Q50" i="46" s="1"/>
  <c r="L50" i="46"/>
  <c r="O49" i="46"/>
  <c r="Q49" i="46" s="1"/>
  <c r="L49" i="46"/>
  <c r="O48" i="46"/>
  <c r="Q48" i="46" s="1"/>
  <c r="L48" i="46"/>
  <c r="O47" i="46"/>
  <c r="P47" i="46"/>
  <c r="L47" i="46"/>
  <c r="O46" i="46"/>
  <c r="P46" i="46"/>
  <c r="L46" i="46"/>
  <c r="O45" i="46"/>
  <c r="P45" i="46"/>
  <c r="L45" i="46"/>
  <c r="O44" i="46"/>
  <c r="P44" i="46" s="1"/>
  <c r="L44" i="46"/>
  <c r="O43" i="46"/>
  <c r="Q43" i="46" s="1"/>
  <c r="L43" i="46"/>
  <c r="O42" i="46"/>
  <c r="P42" i="46"/>
  <c r="L42" i="46"/>
  <c r="O41" i="46"/>
  <c r="P41" i="46"/>
  <c r="L41" i="46"/>
  <c r="O40" i="46"/>
  <c r="P40" i="46"/>
  <c r="L40" i="46"/>
  <c r="O39" i="46"/>
  <c r="P39" i="46"/>
  <c r="L39" i="46"/>
  <c r="O38" i="46"/>
  <c r="P38" i="46"/>
  <c r="L38" i="46"/>
  <c r="O37" i="46"/>
  <c r="P37" i="46"/>
  <c r="L37" i="46"/>
  <c r="O36" i="46"/>
  <c r="P36" i="46"/>
  <c r="L36" i="46"/>
  <c r="O35" i="46"/>
  <c r="P35" i="46"/>
  <c r="L35" i="46"/>
  <c r="O34" i="46"/>
  <c r="P34" i="46" s="1"/>
  <c r="L34" i="46"/>
  <c r="O33" i="46"/>
  <c r="P33" i="46" s="1"/>
  <c r="L33" i="46"/>
  <c r="O32" i="46"/>
  <c r="P32" i="46"/>
  <c r="L32" i="46"/>
  <c r="O31" i="46"/>
  <c r="P31" i="46"/>
  <c r="L31" i="46"/>
  <c r="O30" i="46"/>
  <c r="P30" i="46"/>
  <c r="L30" i="46"/>
  <c r="O29" i="46"/>
  <c r="P29" i="46" s="1"/>
  <c r="L29" i="46"/>
  <c r="O28" i="46"/>
  <c r="P28" i="46" s="1"/>
  <c r="L28" i="46"/>
  <c r="O27" i="46"/>
  <c r="P27" i="46"/>
  <c r="L27" i="46"/>
  <c r="O26" i="46"/>
  <c r="P26" i="46"/>
  <c r="L26" i="46"/>
  <c r="O25" i="46"/>
  <c r="P25" i="46"/>
  <c r="L25" i="46"/>
  <c r="O24" i="46"/>
  <c r="P24" i="46"/>
  <c r="L24" i="46"/>
  <c r="O23" i="46"/>
  <c r="P23" i="46"/>
  <c r="L23" i="46"/>
  <c r="O22" i="46"/>
  <c r="Q22" i="46"/>
  <c r="L22" i="46"/>
  <c r="O21" i="46"/>
  <c r="L21" i="46"/>
  <c r="O20" i="46"/>
  <c r="P20" i="46"/>
  <c r="L20" i="46"/>
  <c r="O19" i="46"/>
  <c r="P19" i="46" s="1"/>
  <c r="L19" i="46"/>
  <c r="N14" i="46"/>
  <c r="N278" i="46" s="1"/>
  <c r="M14" i="46"/>
  <c r="E14" i="46"/>
  <c r="D14" i="46"/>
  <c r="D278" i="46"/>
  <c r="A14" i="46"/>
  <c r="A278" i="46"/>
  <c r="F10" i="46"/>
  <c r="D8" i="46"/>
  <c r="D6" i="46"/>
  <c r="G85" i="46"/>
  <c r="D66" i="9"/>
  <c r="E66" i="9"/>
  <c r="F66" i="9"/>
  <c r="G66" i="9"/>
  <c r="H66" i="9"/>
  <c r="I66" i="9" s="1"/>
  <c r="J66" i="9" s="1"/>
  <c r="K66" i="9" s="1"/>
  <c r="L66" i="9" s="1"/>
  <c r="M66" i="9" s="1"/>
  <c r="N66" i="9" s="1"/>
  <c r="O66" i="9" s="1"/>
  <c r="P66" i="9" s="1"/>
  <c r="Q66" i="9" s="1"/>
  <c r="R66" i="9" s="1"/>
  <c r="S66" i="9" s="1"/>
  <c r="T66" i="9" s="1"/>
  <c r="U66" i="9" s="1"/>
  <c r="V66" i="9" s="1"/>
  <c r="W66" i="9" s="1"/>
  <c r="X66" i="9" s="1"/>
  <c r="Y66" i="9" s="1"/>
  <c r="Z66" i="9" s="1"/>
  <c r="AA66" i="9" s="1"/>
  <c r="AB66" i="9" s="1"/>
  <c r="AC66" i="9" s="1"/>
  <c r="AD66" i="9" s="1"/>
  <c r="AE66" i="9" s="1"/>
  <c r="AF66" i="9" s="1"/>
  <c r="AG66" i="9" s="1"/>
  <c r="AH66" i="9" s="1"/>
  <c r="C65" i="9"/>
  <c r="D65" i="9" s="1"/>
  <c r="AG15" i="29"/>
  <c r="AF15" i="29"/>
  <c r="AE15" i="29"/>
  <c r="AD15" i="29"/>
  <c r="AC15" i="29"/>
  <c r="AB15" i="29"/>
  <c r="AA15" i="29"/>
  <c r="Z15" i="29"/>
  <c r="Y15" i="29"/>
  <c r="X15" i="29"/>
  <c r="W15" i="29"/>
  <c r="V15" i="29"/>
  <c r="U15" i="29"/>
  <c r="T15" i="29"/>
  <c r="S15" i="29"/>
  <c r="R15" i="29"/>
  <c r="Q15" i="29"/>
  <c r="P15" i="29"/>
  <c r="O15" i="29"/>
  <c r="N15" i="29"/>
  <c r="M15" i="29"/>
  <c r="L15" i="29"/>
  <c r="K15" i="29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AH19" i="11"/>
  <c r="AH18" i="11"/>
  <c r="AG19" i="11"/>
  <c r="AG18" i="11" s="1"/>
  <c r="AF19" i="11"/>
  <c r="AF18" i="11"/>
  <c r="AE19" i="11"/>
  <c r="AE18" i="11"/>
  <c r="AD19" i="11"/>
  <c r="AD18" i="11"/>
  <c r="AC19" i="11"/>
  <c r="AC18" i="11" s="1"/>
  <c r="AB19" i="11"/>
  <c r="AB18" i="11"/>
  <c r="AA19" i="11"/>
  <c r="AA18" i="11"/>
  <c r="Z19" i="11"/>
  <c r="Z18" i="11"/>
  <c r="Y19" i="11"/>
  <c r="Y18" i="11" s="1"/>
  <c r="X19" i="11"/>
  <c r="X18" i="11"/>
  <c r="W19" i="11"/>
  <c r="W18" i="11"/>
  <c r="V19" i="11"/>
  <c r="V18" i="11"/>
  <c r="AH3" i="11"/>
  <c r="AG3" i="11"/>
  <c r="AF3" i="11"/>
  <c r="AE3" i="11"/>
  <c r="AD3" i="11"/>
  <c r="AC3" i="11"/>
  <c r="AB3" i="11"/>
  <c r="AA3" i="11"/>
  <c r="Z3" i="11"/>
  <c r="Y3" i="11"/>
  <c r="X3" i="11"/>
  <c r="W3" i="11"/>
  <c r="V3" i="11"/>
  <c r="O19" i="43"/>
  <c r="O25" i="43"/>
  <c r="P25" i="43" s="1"/>
  <c r="O26" i="43"/>
  <c r="P26" i="43" s="1"/>
  <c r="O27" i="43"/>
  <c r="Q27" i="43" s="1"/>
  <c r="O28" i="43"/>
  <c r="P28" i="43" s="1"/>
  <c r="O29" i="43"/>
  <c r="P29" i="43" s="1"/>
  <c r="O30" i="43"/>
  <c r="P30" i="43" s="1"/>
  <c r="O31" i="43"/>
  <c r="P31" i="43" s="1"/>
  <c r="O32" i="43"/>
  <c r="P32" i="43" s="1"/>
  <c r="O33" i="43"/>
  <c r="P33" i="43" s="1"/>
  <c r="O34" i="43"/>
  <c r="P34" i="43" s="1"/>
  <c r="O35" i="43"/>
  <c r="O36" i="43"/>
  <c r="O37" i="43"/>
  <c r="O38" i="43"/>
  <c r="O39" i="43"/>
  <c r="O40" i="43"/>
  <c r="O41" i="43"/>
  <c r="O42" i="43"/>
  <c r="O43" i="43"/>
  <c r="O44" i="43"/>
  <c r="O45" i="43"/>
  <c r="O46" i="43"/>
  <c r="O47" i="43"/>
  <c r="O48" i="43"/>
  <c r="O49" i="43"/>
  <c r="O50" i="43"/>
  <c r="O51" i="43"/>
  <c r="O52" i="43"/>
  <c r="Q52" i="43" s="1"/>
  <c r="O53" i="43"/>
  <c r="O54" i="43"/>
  <c r="O55" i="43"/>
  <c r="O56" i="43"/>
  <c r="O57" i="43"/>
  <c r="O58" i="43"/>
  <c r="O59" i="43"/>
  <c r="O60" i="43"/>
  <c r="O61" i="43"/>
  <c r="O62" i="43"/>
  <c r="O63" i="43"/>
  <c r="O64" i="43"/>
  <c r="P64" i="43" s="1"/>
  <c r="O65" i="43"/>
  <c r="O66" i="43"/>
  <c r="O67" i="43"/>
  <c r="O68" i="43"/>
  <c r="O69" i="43"/>
  <c r="O70" i="43"/>
  <c r="Q70" i="43" s="1"/>
  <c r="O71" i="43"/>
  <c r="O72" i="43"/>
  <c r="O73" i="43"/>
  <c r="O74" i="43"/>
  <c r="O75" i="43"/>
  <c r="O76" i="43"/>
  <c r="O77" i="43"/>
  <c r="O78" i="43"/>
  <c r="O79" i="43"/>
  <c r="O80" i="43"/>
  <c r="O81" i="43"/>
  <c r="O82" i="43"/>
  <c r="O83" i="43"/>
  <c r="O84" i="43"/>
  <c r="O85" i="43"/>
  <c r="O86" i="43"/>
  <c r="O87" i="43"/>
  <c r="O88" i="43"/>
  <c r="O89" i="43"/>
  <c r="O90" i="43"/>
  <c r="O91" i="43"/>
  <c r="O92" i="43"/>
  <c r="O93" i="43"/>
  <c r="O94" i="43"/>
  <c r="O95" i="43"/>
  <c r="O96" i="43"/>
  <c r="O97" i="43"/>
  <c r="P97" i="43" s="1"/>
  <c r="O98" i="43"/>
  <c r="O99" i="43"/>
  <c r="O100" i="43"/>
  <c r="O101" i="43"/>
  <c r="O102" i="43"/>
  <c r="O103" i="43"/>
  <c r="O104" i="43"/>
  <c r="O105" i="43"/>
  <c r="O106" i="43"/>
  <c r="O107" i="43"/>
  <c r="O108" i="43"/>
  <c r="O109" i="43"/>
  <c r="O110" i="43"/>
  <c r="O111" i="43"/>
  <c r="O112" i="43"/>
  <c r="O113" i="43"/>
  <c r="O114" i="43"/>
  <c r="O115" i="43"/>
  <c r="O116" i="43"/>
  <c r="O117" i="43"/>
  <c r="P117" i="43" s="1"/>
  <c r="O118" i="43"/>
  <c r="O119" i="43"/>
  <c r="O120" i="43"/>
  <c r="O121" i="43"/>
  <c r="O122" i="43"/>
  <c r="O123" i="43"/>
  <c r="O124" i="43"/>
  <c r="O125" i="43"/>
  <c r="O126" i="43"/>
  <c r="O127" i="43"/>
  <c r="O128" i="43"/>
  <c r="O129" i="43"/>
  <c r="O130" i="43"/>
  <c r="O131" i="43"/>
  <c r="O132" i="43"/>
  <c r="O133" i="43"/>
  <c r="O134" i="43"/>
  <c r="P134" i="43" s="1"/>
  <c r="O135" i="43"/>
  <c r="O136" i="43"/>
  <c r="O137" i="43"/>
  <c r="O138" i="43"/>
  <c r="O139" i="43"/>
  <c r="O140" i="43"/>
  <c r="O141" i="43"/>
  <c r="O142" i="43"/>
  <c r="O143" i="43"/>
  <c r="O144" i="43"/>
  <c r="O145" i="43"/>
  <c r="O146" i="43"/>
  <c r="O147" i="43"/>
  <c r="O148" i="43"/>
  <c r="O149" i="43"/>
  <c r="O150" i="43"/>
  <c r="Q150" i="43" s="1"/>
  <c r="O151" i="43"/>
  <c r="O152" i="43"/>
  <c r="O153" i="43"/>
  <c r="O154" i="43"/>
  <c r="O155" i="43"/>
  <c r="O156" i="43"/>
  <c r="O157" i="43"/>
  <c r="O158" i="43"/>
  <c r="O159" i="43"/>
  <c r="O160" i="43"/>
  <c r="O161" i="43"/>
  <c r="O162" i="43"/>
  <c r="O163" i="43"/>
  <c r="O164" i="43"/>
  <c r="O165" i="43"/>
  <c r="O166" i="43"/>
  <c r="O167" i="43"/>
  <c r="O168" i="43"/>
  <c r="O169" i="43"/>
  <c r="O170" i="43"/>
  <c r="O171" i="43"/>
  <c r="O172" i="43"/>
  <c r="O173" i="43"/>
  <c r="O174" i="43"/>
  <c r="O175" i="43"/>
  <c r="O176" i="43"/>
  <c r="O177" i="43"/>
  <c r="O178" i="43"/>
  <c r="O179" i="43"/>
  <c r="O180" i="43"/>
  <c r="Q180" i="43" s="1"/>
  <c r="O181" i="43"/>
  <c r="O182" i="43"/>
  <c r="O183" i="43"/>
  <c r="O184" i="43"/>
  <c r="O185" i="43"/>
  <c r="O186" i="43"/>
  <c r="O187" i="43"/>
  <c r="O188" i="43"/>
  <c r="O189" i="43"/>
  <c r="O190" i="43"/>
  <c r="O191" i="43"/>
  <c r="O192" i="43"/>
  <c r="Q192" i="43" s="1"/>
  <c r="O193" i="43"/>
  <c r="O194" i="43"/>
  <c r="O195" i="43"/>
  <c r="O196" i="43"/>
  <c r="O197" i="43"/>
  <c r="O198" i="43"/>
  <c r="O199" i="43"/>
  <c r="O200" i="43"/>
  <c r="O201" i="43"/>
  <c r="O202" i="43"/>
  <c r="O203" i="43"/>
  <c r="O204" i="43"/>
  <c r="O205" i="43"/>
  <c r="O206" i="43"/>
  <c r="O207" i="43"/>
  <c r="O208" i="43"/>
  <c r="O209" i="43"/>
  <c r="O210" i="43"/>
  <c r="O211" i="43"/>
  <c r="O212" i="43"/>
  <c r="O213" i="43"/>
  <c r="O214" i="43"/>
  <c r="O215" i="43"/>
  <c r="O216" i="43"/>
  <c r="O217" i="43"/>
  <c r="O218" i="43"/>
  <c r="Q218" i="43" s="1"/>
  <c r="O219" i="43"/>
  <c r="O220" i="43"/>
  <c r="O221" i="43"/>
  <c r="O222" i="43"/>
  <c r="O223" i="43"/>
  <c r="O224" i="43"/>
  <c r="P224" i="43" s="1"/>
  <c r="O225" i="43"/>
  <c r="O226" i="43"/>
  <c r="O227" i="43"/>
  <c r="O228" i="43"/>
  <c r="O229" i="43"/>
  <c r="O230" i="43"/>
  <c r="O231" i="43"/>
  <c r="O232" i="43"/>
  <c r="O233" i="43"/>
  <c r="O234" i="43"/>
  <c r="O235" i="43"/>
  <c r="O236" i="43"/>
  <c r="O237" i="43"/>
  <c r="Q237" i="43" s="1"/>
  <c r="O238" i="43"/>
  <c r="O239" i="43"/>
  <c r="O240" i="43"/>
  <c r="O241" i="43"/>
  <c r="O242" i="43"/>
  <c r="O243" i="43"/>
  <c r="O244" i="43"/>
  <c r="O245" i="43"/>
  <c r="O246" i="43"/>
  <c r="O247" i="43"/>
  <c r="O248" i="43"/>
  <c r="O249" i="43"/>
  <c r="Q249" i="43" s="1"/>
  <c r="O250" i="43"/>
  <c r="O251" i="43"/>
  <c r="O252" i="43"/>
  <c r="O253" i="43"/>
  <c r="O254" i="43"/>
  <c r="O255" i="43"/>
  <c r="O256" i="43"/>
  <c r="O257" i="43"/>
  <c r="O258" i="43"/>
  <c r="O259" i="43"/>
  <c r="O260" i="43"/>
  <c r="O261" i="43"/>
  <c r="O262" i="43"/>
  <c r="O263" i="43"/>
  <c r="O264" i="43"/>
  <c r="O265" i="43"/>
  <c r="O266" i="43"/>
  <c r="Q266" i="43" s="1"/>
  <c r="O267" i="43"/>
  <c r="O268" i="43"/>
  <c r="O269" i="43"/>
  <c r="O270" i="43"/>
  <c r="O271" i="43"/>
  <c r="O272" i="43"/>
  <c r="O273" i="43"/>
  <c r="O274" i="43"/>
  <c r="O275" i="43"/>
  <c r="O24" i="43"/>
  <c r="P24" i="43" s="1"/>
  <c r="K11" i="45"/>
  <c r="K12" i="45"/>
  <c r="K13" i="45"/>
  <c r="K14" i="45"/>
  <c r="K15" i="45"/>
  <c r="K16" i="45"/>
  <c r="K17" i="45"/>
  <c r="K18" i="45"/>
  <c r="K19" i="45"/>
  <c r="K20" i="45"/>
  <c r="K21" i="45"/>
  <c r="K22" i="45"/>
  <c r="K23" i="45"/>
  <c r="K24" i="45"/>
  <c r="K25" i="45"/>
  <c r="K26" i="45"/>
  <c r="K27" i="45"/>
  <c r="K28" i="45"/>
  <c r="K29" i="45"/>
  <c r="K30" i="45"/>
  <c r="K31" i="45"/>
  <c r="K32" i="45"/>
  <c r="K33" i="45"/>
  <c r="K34" i="45"/>
  <c r="K35" i="45"/>
  <c r="K36" i="45"/>
  <c r="K37" i="45"/>
  <c r="K38" i="45"/>
  <c r="K39" i="45"/>
  <c r="K40" i="45"/>
  <c r="K41" i="45"/>
  <c r="K42" i="45"/>
  <c r="K43" i="45"/>
  <c r="K44" i="45"/>
  <c r="K45" i="45"/>
  <c r="K46" i="45"/>
  <c r="K47" i="45"/>
  <c r="K48" i="45"/>
  <c r="K49" i="45"/>
  <c r="K50" i="45"/>
  <c r="K51" i="45"/>
  <c r="K52" i="45"/>
  <c r="K53" i="45"/>
  <c r="K54" i="45"/>
  <c r="K55" i="45"/>
  <c r="K56" i="45"/>
  <c r="K57" i="45"/>
  <c r="K58" i="45"/>
  <c r="K59" i="45"/>
  <c r="K60" i="45"/>
  <c r="K61" i="45"/>
  <c r="K62" i="45"/>
  <c r="K63" i="45"/>
  <c r="K64" i="45"/>
  <c r="K65" i="45"/>
  <c r="K66" i="45"/>
  <c r="K67" i="45"/>
  <c r="K68" i="45"/>
  <c r="K69" i="45"/>
  <c r="K70" i="45"/>
  <c r="K71" i="45"/>
  <c r="K72" i="45"/>
  <c r="K73" i="45"/>
  <c r="K74" i="45"/>
  <c r="K75" i="45"/>
  <c r="K76" i="45"/>
  <c r="K77" i="45"/>
  <c r="K78" i="45"/>
  <c r="K79" i="45"/>
  <c r="K80" i="45"/>
  <c r="K81" i="45"/>
  <c r="K82" i="45"/>
  <c r="K83" i="45"/>
  <c r="K84" i="45"/>
  <c r="K85" i="45"/>
  <c r="K86" i="45"/>
  <c r="K87" i="45"/>
  <c r="K88" i="45"/>
  <c r="K89" i="45"/>
  <c r="K90" i="45"/>
  <c r="K91" i="45"/>
  <c r="K92" i="45"/>
  <c r="K93" i="45"/>
  <c r="K94" i="45"/>
  <c r="K95" i="45"/>
  <c r="K96" i="45"/>
  <c r="K97" i="45"/>
  <c r="K98" i="45"/>
  <c r="K99" i="45"/>
  <c r="K100" i="45"/>
  <c r="K101" i="45"/>
  <c r="K102" i="45"/>
  <c r="K103" i="45"/>
  <c r="K104" i="45"/>
  <c r="K105" i="45"/>
  <c r="K106" i="45"/>
  <c r="K107" i="45"/>
  <c r="K108" i="45"/>
  <c r="K109" i="45"/>
  <c r="K110" i="45"/>
  <c r="K111" i="45"/>
  <c r="K112" i="45"/>
  <c r="K113" i="45"/>
  <c r="K114" i="45"/>
  <c r="K115" i="45"/>
  <c r="K116" i="45"/>
  <c r="K117" i="45"/>
  <c r="K118" i="45"/>
  <c r="K119" i="45"/>
  <c r="K120" i="45"/>
  <c r="K121" i="45"/>
  <c r="K122" i="45"/>
  <c r="K123" i="45"/>
  <c r="K124" i="45"/>
  <c r="K125" i="45"/>
  <c r="K126" i="45"/>
  <c r="K127" i="45"/>
  <c r="K128" i="45"/>
  <c r="K129" i="45"/>
  <c r="K130" i="45"/>
  <c r="K131" i="45"/>
  <c r="K132" i="45"/>
  <c r="K133" i="45"/>
  <c r="K134" i="45"/>
  <c r="K135" i="45"/>
  <c r="K136" i="45"/>
  <c r="K137" i="45"/>
  <c r="K138" i="45"/>
  <c r="K139" i="45"/>
  <c r="K140" i="45"/>
  <c r="K141" i="45"/>
  <c r="K142" i="45"/>
  <c r="K143" i="45"/>
  <c r="K144" i="45"/>
  <c r="K145" i="45"/>
  <c r="K146" i="45"/>
  <c r="K147" i="45"/>
  <c r="K148" i="45"/>
  <c r="K149" i="45"/>
  <c r="K150" i="45"/>
  <c r="K151" i="45"/>
  <c r="K152" i="45"/>
  <c r="K153" i="45"/>
  <c r="K154" i="45"/>
  <c r="K155" i="45"/>
  <c r="K156" i="45"/>
  <c r="K157" i="45"/>
  <c r="K158" i="45"/>
  <c r="K159" i="45"/>
  <c r="K160" i="45"/>
  <c r="K161" i="45"/>
  <c r="K162" i="45"/>
  <c r="K163" i="45"/>
  <c r="K164" i="45"/>
  <c r="K165" i="45"/>
  <c r="K166" i="45"/>
  <c r="K167" i="45"/>
  <c r="K168" i="45"/>
  <c r="K169" i="45"/>
  <c r="K170" i="45"/>
  <c r="K171" i="45"/>
  <c r="K172" i="45"/>
  <c r="K173" i="45"/>
  <c r="K174" i="45"/>
  <c r="K175" i="45"/>
  <c r="K176" i="45"/>
  <c r="K177" i="45"/>
  <c r="K178" i="45"/>
  <c r="K179" i="45"/>
  <c r="K180" i="45"/>
  <c r="K181" i="45"/>
  <c r="K182" i="45"/>
  <c r="K183" i="45"/>
  <c r="K184" i="45"/>
  <c r="K185" i="45"/>
  <c r="K186" i="45"/>
  <c r="K187" i="45"/>
  <c r="K188" i="45"/>
  <c r="K189" i="45"/>
  <c r="K190" i="45"/>
  <c r="K191" i="45"/>
  <c r="K192" i="45"/>
  <c r="K193" i="45"/>
  <c r="K194" i="45"/>
  <c r="K195" i="45"/>
  <c r="K196" i="45"/>
  <c r="K197" i="45"/>
  <c r="K198" i="45"/>
  <c r="K199" i="45"/>
  <c r="K200" i="45"/>
  <c r="K201" i="45"/>
  <c r="K202" i="45"/>
  <c r="K203" i="45"/>
  <c r="K204" i="45"/>
  <c r="K205" i="45"/>
  <c r="K206" i="45"/>
  <c r="K207" i="45"/>
  <c r="K208" i="45"/>
  <c r="K209" i="45"/>
  <c r="K210" i="45"/>
  <c r="K211" i="45"/>
  <c r="K212" i="45"/>
  <c r="K213" i="45"/>
  <c r="K214" i="45"/>
  <c r="K215" i="45"/>
  <c r="K216" i="45"/>
  <c r="K217" i="45"/>
  <c r="K218" i="45"/>
  <c r="K219" i="45"/>
  <c r="K220" i="45"/>
  <c r="K221" i="45"/>
  <c r="K222" i="45"/>
  <c r="K223" i="45"/>
  <c r="K224" i="45"/>
  <c r="K225" i="45"/>
  <c r="K226" i="45"/>
  <c r="K227" i="45"/>
  <c r="K228" i="45"/>
  <c r="K229" i="45"/>
  <c r="K230" i="45"/>
  <c r="K231" i="45"/>
  <c r="K232" i="45"/>
  <c r="K233" i="45"/>
  <c r="K234" i="45"/>
  <c r="K235" i="45"/>
  <c r="K236" i="45"/>
  <c r="K237" i="45"/>
  <c r="K238" i="45"/>
  <c r="K239" i="45"/>
  <c r="K240" i="45"/>
  <c r="K241" i="45"/>
  <c r="K242" i="45"/>
  <c r="K243" i="45"/>
  <c r="K244" i="45"/>
  <c r="K245" i="45"/>
  <c r="K246" i="45"/>
  <c r="K247" i="45"/>
  <c r="K248" i="45"/>
  <c r="K249" i="45"/>
  <c r="K250" i="45"/>
  <c r="K251" i="45"/>
  <c r="K252" i="45"/>
  <c r="K253" i="45"/>
  <c r="K254" i="45"/>
  <c r="K255" i="45"/>
  <c r="K256" i="45"/>
  <c r="K257" i="45"/>
  <c r="K258" i="45"/>
  <c r="K259" i="45"/>
  <c r="K260" i="45"/>
  <c r="K261" i="45"/>
  <c r="K262" i="45"/>
  <c r="K263" i="45"/>
  <c r="K264" i="45"/>
  <c r="K265" i="45"/>
  <c r="K266" i="45"/>
  <c r="K267" i="45"/>
  <c r="K268" i="45"/>
  <c r="K269" i="45"/>
  <c r="K270" i="45"/>
  <c r="K271" i="45"/>
  <c r="K272" i="45"/>
  <c r="K273" i="45"/>
  <c r="K10" i="45"/>
  <c r="O20" i="43"/>
  <c r="P20" i="43" s="1"/>
  <c r="O21" i="43"/>
  <c r="P21" i="43" s="1"/>
  <c r="O22" i="43"/>
  <c r="P22" i="43" s="1"/>
  <c r="O23" i="43"/>
  <c r="P23" i="43" s="1"/>
  <c r="AG25" i="8"/>
  <c r="AF25" i="8"/>
  <c r="AE25" i="8"/>
  <c r="AD25" i="8"/>
  <c r="AC25" i="8"/>
  <c r="AC34" i="8"/>
  <c r="AB25" i="8"/>
  <c r="AA25" i="8"/>
  <c r="Z25" i="8"/>
  <c r="Y25" i="8"/>
  <c r="X25" i="8"/>
  <c r="W25" i="8"/>
  <c r="AG24" i="8"/>
  <c r="AG33" i="8"/>
  <c r="AF24" i="8"/>
  <c r="AE24" i="8"/>
  <c r="AD24" i="8"/>
  <c r="AC24" i="8"/>
  <c r="AC33" i="8" s="1"/>
  <c r="AB24" i="8"/>
  <c r="AA24" i="8"/>
  <c r="Z24" i="8"/>
  <c r="Y24" i="8"/>
  <c r="X24" i="8"/>
  <c r="W24" i="8"/>
  <c r="X33" i="8" s="1"/>
  <c r="L276" i="43"/>
  <c r="L275" i="43"/>
  <c r="L274" i="43"/>
  <c r="L273" i="43"/>
  <c r="L272" i="43"/>
  <c r="L271" i="43"/>
  <c r="L270" i="43"/>
  <c r="L269" i="43"/>
  <c r="L268" i="43"/>
  <c r="L267" i="43"/>
  <c r="L266" i="43"/>
  <c r="L265" i="43"/>
  <c r="L264" i="43"/>
  <c r="L263" i="43"/>
  <c r="L262" i="43"/>
  <c r="L261" i="43"/>
  <c r="L260" i="43"/>
  <c r="L259" i="43"/>
  <c r="L258" i="43"/>
  <c r="L257" i="43"/>
  <c r="L256" i="43"/>
  <c r="L255" i="43"/>
  <c r="L254" i="43"/>
  <c r="L253" i="43"/>
  <c r="L252" i="43"/>
  <c r="L251" i="43"/>
  <c r="L250" i="43"/>
  <c r="L249" i="43"/>
  <c r="L248" i="43"/>
  <c r="L247" i="43"/>
  <c r="L246" i="43"/>
  <c r="L245" i="43"/>
  <c r="L244" i="43"/>
  <c r="L243" i="43"/>
  <c r="L242" i="43"/>
  <c r="L241" i="43"/>
  <c r="L240" i="43"/>
  <c r="L239" i="43"/>
  <c r="L238" i="43"/>
  <c r="L237" i="43"/>
  <c r="L236" i="43"/>
  <c r="L235" i="43"/>
  <c r="L234" i="43"/>
  <c r="L233" i="43"/>
  <c r="L232" i="43"/>
  <c r="L231" i="43"/>
  <c r="L230" i="43"/>
  <c r="L229" i="43"/>
  <c r="L228" i="43"/>
  <c r="L227" i="43"/>
  <c r="L226" i="43"/>
  <c r="L225" i="43"/>
  <c r="L224" i="43"/>
  <c r="L223" i="43"/>
  <c r="L222" i="43"/>
  <c r="L221" i="43"/>
  <c r="L220" i="43"/>
  <c r="L219" i="43"/>
  <c r="L218" i="43"/>
  <c r="L217" i="43"/>
  <c r="L216" i="43"/>
  <c r="L215" i="43"/>
  <c r="L214" i="43"/>
  <c r="L213" i="43"/>
  <c r="L212" i="43"/>
  <c r="L211" i="43"/>
  <c r="L210" i="43"/>
  <c r="L209" i="43"/>
  <c r="L208" i="43"/>
  <c r="L207" i="43"/>
  <c r="L206" i="43"/>
  <c r="L205" i="43"/>
  <c r="L204" i="43"/>
  <c r="L203" i="43"/>
  <c r="L202" i="43"/>
  <c r="L201" i="43"/>
  <c r="L200" i="43"/>
  <c r="L199" i="43"/>
  <c r="L198" i="43"/>
  <c r="L197" i="43"/>
  <c r="L196" i="43"/>
  <c r="L195" i="43"/>
  <c r="L194" i="43"/>
  <c r="L193" i="43"/>
  <c r="L192" i="43"/>
  <c r="L191" i="43"/>
  <c r="L190" i="43"/>
  <c r="L189" i="43"/>
  <c r="L188" i="43"/>
  <c r="L187" i="43"/>
  <c r="L186" i="43"/>
  <c r="L185" i="43"/>
  <c r="L184" i="43"/>
  <c r="L183" i="43"/>
  <c r="L182" i="43"/>
  <c r="L181" i="43"/>
  <c r="L180" i="43"/>
  <c r="L179" i="43"/>
  <c r="L178" i="43"/>
  <c r="L177" i="43"/>
  <c r="L176" i="43"/>
  <c r="L175" i="43"/>
  <c r="L174" i="43"/>
  <c r="L173" i="43"/>
  <c r="L172" i="43"/>
  <c r="L171" i="43"/>
  <c r="L170" i="43"/>
  <c r="L169" i="43"/>
  <c r="L168" i="43"/>
  <c r="L167" i="43"/>
  <c r="L166" i="43"/>
  <c r="L165" i="43"/>
  <c r="L164" i="43"/>
  <c r="L163" i="43"/>
  <c r="L162" i="43"/>
  <c r="L161" i="43"/>
  <c r="L160" i="43"/>
  <c r="L159" i="43"/>
  <c r="L158" i="43"/>
  <c r="L157" i="43"/>
  <c r="L156" i="43"/>
  <c r="L155" i="43"/>
  <c r="L154" i="43"/>
  <c r="L153" i="43"/>
  <c r="L152" i="43"/>
  <c r="L151" i="43"/>
  <c r="L150" i="43"/>
  <c r="L149" i="43"/>
  <c r="L148" i="43"/>
  <c r="L147" i="43"/>
  <c r="L146" i="43"/>
  <c r="L145" i="43"/>
  <c r="L144" i="43"/>
  <c r="L143" i="43"/>
  <c r="L142" i="43"/>
  <c r="L141" i="43"/>
  <c r="L140" i="43"/>
  <c r="L139" i="43"/>
  <c r="L138" i="43"/>
  <c r="L137" i="43"/>
  <c r="L136" i="43"/>
  <c r="L135" i="43"/>
  <c r="L134" i="43"/>
  <c r="L133" i="43"/>
  <c r="L132" i="43"/>
  <c r="L131" i="43"/>
  <c r="L130" i="43"/>
  <c r="L129" i="43"/>
  <c r="L128" i="43"/>
  <c r="L127" i="43"/>
  <c r="L126" i="43"/>
  <c r="L125" i="43"/>
  <c r="L124" i="43"/>
  <c r="L123" i="43"/>
  <c r="L122" i="43"/>
  <c r="L121" i="43"/>
  <c r="L120" i="43"/>
  <c r="L119" i="43"/>
  <c r="L118" i="43"/>
  <c r="L117" i="43"/>
  <c r="L116" i="43"/>
  <c r="L115" i="43"/>
  <c r="L114" i="43"/>
  <c r="L113" i="43"/>
  <c r="L112" i="43"/>
  <c r="L111" i="43"/>
  <c r="L110" i="43"/>
  <c r="L109" i="43"/>
  <c r="L108" i="43"/>
  <c r="L107" i="43"/>
  <c r="L106" i="43"/>
  <c r="L105" i="43"/>
  <c r="L104" i="43"/>
  <c r="L103" i="43"/>
  <c r="L102" i="43"/>
  <c r="L101" i="43"/>
  <c r="L100" i="43"/>
  <c r="L99" i="43"/>
  <c r="L98" i="43"/>
  <c r="L97" i="43"/>
  <c r="L96" i="43"/>
  <c r="L95" i="43"/>
  <c r="L94" i="43"/>
  <c r="L93" i="43"/>
  <c r="L92" i="43"/>
  <c r="L91" i="43"/>
  <c r="L90" i="43"/>
  <c r="L89" i="43"/>
  <c r="L88" i="43"/>
  <c r="L87" i="43"/>
  <c r="L86" i="43"/>
  <c r="L85" i="43"/>
  <c r="L84" i="43"/>
  <c r="L83" i="43"/>
  <c r="L82" i="43"/>
  <c r="L81" i="43"/>
  <c r="L80" i="43"/>
  <c r="L79" i="43"/>
  <c r="L78" i="43"/>
  <c r="L77" i="43"/>
  <c r="L76" i="43"/>
  <c r="L75" i="43"/>
  <c r="L74" i="43"/>
  <c r="L73" i="43"/>
  <c r="L72" i="43"/>
  <c r="L71" i="43"/>
  <c r="L70" i="43"/>
  <c r="L69" i="43"/>
  <c r="L68" i="43"/>
  <c r="L67" i="43"/>
  <c r="L66" i="43"/>
  <c r="L65" i="43"/>
  <c r="L64" i="43"/>
  <c r="L63" i="43"/>
  <c r="L62" i="43"/>
  <c r="L61" i="43"/>
  <c r="L60" i="43"/>
  <c r="L59" i="43"/>
  <c r="L58" i="43"/>
  <c r="L57" i="43"/>
  <c r="L56" i="43"/>
  <c r="L55" i="43"/>
  <c r="L54" i="43"/>
  <c r="L53" i="43"/>
  <c r="L52" i="43"/>
  <c r="L51" i="43"/>
  <c r="L50" i="43"/>
  <c r="L49" i="43"/>
  <c r="L48" i="43"/>
  <c r="L47" i="43"/>
  <c r="L46" i="43"/>
  <c r="L45" i="43"/>
  <c r="L44" i="43"/>
  <c r="L43" i="43"/>
  <c r="L42" i="43"/>
  <c r="L41" i="43"/>
  <c r="L40" i="43"/>
  <c r="L39" i="43"/>
  <c r="L38" i="43"/>
  <c r="L37" i="43"/>
  <c r="L36" i="43"/>
  <c r="L35" i="43"/>
  <c r="L34" i="43"/>
  <c r="L33" i="43"/>
  <c r="L32" i="43"/>
  <c r="L31" i="43"/>
  <c r="L30" i="43"/>
  <c r="L29" i="43"/>
  <c r="L28" i="43"/>
  <c r="L27" i="43"/>
  <c r="L26" i="43"/>
  <c r="L25" i="43"/>
  <c r="L24" i="43"/>
  <c r="L23" i="43"/>
  <c r="L22" i="43"/>
  <c r="L21" i="43"/>
  <c r="L20" i="43"/>
  <c r="L19" i="43"/>
  <c r="N14" i="43"/>
  <c r="M14" i="43"/>
  <c r="C25" i="7"/>
  <c r="C28" i="8" s="1"/>
  <c r="C37" i="7"/>
  <c r="C24" i="8"/>
  <c r="C33" i="8"/>
  <c r="D24" i="8"/>
  <c r="E24" i="8"/>
  <c r="F24" i="8"/>
  <c r="G24" i="8"/>
  <c r="H24" i="8"/>
  <c r="I24" i="8"/>
  <c r="J24" i="8"/>
  <c r="K24" i="8"/>
  <c r="L24" i="8"/>
  <c r="M24" i="8"/>
  <c r="N24" i="8"/>
  <c r="O33" i="8"/>
  <c r="O24" i="8"/>
  <c r="P24" i="8"/>
  <c r="Q24" i="8"/>
  <c r="Q33" i="8"/>
  <c r="R24" i="8"/>
  <c r="S24" i="8"/>
  <c r="T24" i="8"/>
  <c r="U24" i="8"/>
  <c r="V24" i="8"/>
  <c r="C25" i="8"/>
  <c r="D25" i="8"/>
  <c r="D34" i="8"/>
  <c r="E25" i="8"/>
  <c r="F25" i="8"/>
  <c r="G25" i="8"/>
  <c r="G34" i="8"/>
  <c r="H25" i="8"/>
  <c r="I25" i="8"/>
  <c r="J25" i="8"/>
  <c r="K25" i="8"/>
  <c r="L34" i="8" s="1"/>
  <c r="L25" i="8"/>
  <c r="M25" i="8"/>
  <c r="N25" i="8"/>
  <c r="O25" i="8"/>
  <c r="P25" i="8"/>
  <c r="Q25" i="8"/>
  <c r="Q34" i="8"/>
  <c r="R25" i="8"/>
  <c r="S25" i="8"/>
  <c r="S34" i="8"/>
  <c r="T25" i="8"/>
  <c r="U25" i="8"/>
  <c r="V25" i="8"/>
  <c r="B19" i="11"/>
  <c r="B18" i="11"/>
  <c r="C19" i="11"/>
  <c r="C18" i="11" s="1"/>
  <c r="D19" i="11"/>
  <c r="D18" i="11"/>
  <c r="E19" i="11"/>
  <c r="E18" i="11"/>
  <c r="F19" i="11"/>
  <c r="F18" i="11"/>
  <c r="G19" i="11"/>
  <c r="G18" i="11" s="1"/>
  <c r="H19" i="11"/>
  <c r="H18" i="11" s="1"/>
  <c r="I19" i="11"/>
  <c r="I18" i="11"/>
  <c r="J19" i="11"/>
  <c r="J18" i="11"/>
  <c r="K19" i="11"/>
  <c r="K18" i="11" s="1"/>
  <c r="L19" i="11"/>
  <c r="L18" i="11"/>
  <c r="M19" i="11"/>
  <c r="M18" i="11"/>
  <c r="N19" i="11"/>
  <c r="N18" i="11"/>
  <c r="O19" i="11"/>
  <c r="O18" i="11" s="1"/>
  <c r="P19" i="11"/>
  <c r="P18" i="11"/>
  <c r="Q19" i="11"/>
  <c r="Q18" i="11"/>
  <c r="R19" i="11"/>
  <c r="R18" i="11"/>
  <c r="S19" i="11"/>
  <c r="S18" i="11" s="1"/>
  <c r="T19" i="11"/>
  <c r="T18" i="11"/>
  <c r="U19" i="11"/>
  <c r="U18" i="11"/>
  <c r="M29" i="44"/>
  <c r="O29" i="44"/>
  <c r="L23" i="44"/>
  <c r="M23" i="44" s="1"/>
  <c r="D8" i="43"/>
  <c r="I50" i="43"/>
  <c r="J50" i="43" s="1"/>
  <c r="K50" i="43" s="1"/>
  <c r="T13" i="41"/>
  <c r="U7" i="9"/>
  <c r="J8" i="44"/>
  <c r="K8" i="44"/>
  <c r="J9" i="44"/>
  <c r="K9" i="44"/>
  <c r="J10" i="44"/>
  <c r="K10" i="44"/>
  <c r="J11" i="44"/>
  <c r="K11" i="44"/>
  <c r="J12" i="44"/>
  <c r="K12" i="44"/>
  <c r="J13" i="44"/>
  <c r="K13" i="44"/>
  <c r="J14" i="44"/>
  <c r="K14" i="44"/>
  <c r="J15" i="44"/>
  <c r="K15" i="44"/>
  <c r="K7" i="44"/>
  <c r="J7" i="44"/>
  <c r="C8" i="41"/>
  <c r="C13" i="41" s="1"/>
  <c r="D7" i="9" s="1"/>
  <c r="D8" i="41"/>
  <c r="D13" i="41"/>
  <c r="E7" i="9"/>
  <c r="E8" i="41"/>
  <c r="E13" i="41" s="1"/>
  <c r="F7" i="9"/>
  <c r="F8" i="41"/>
  <c r="F13" i="41" s="1"/>
  <c r="G7" i="9" s="1"/>
  <c r="G8" i="41"/>
  <c r="G13" i="41" s="1"/>
  <c r="H7" i="9" s="1"/>
  <c r="H8" i="41"/>
  <c r="H13" i="41"/>
  <c r="I7" i="9"/>
  <c r="I8" i="41"/>
  <c r="I13" i="41"/>
  <c r="J7" i="9"/>
  <c r="J8" i="41"/>
  <c r="J13" i="41" s="1"/>
  <c r="K7" i="9" s="1"/>
  <c r="K8" i="41"/>
  <c r="K13" i="41"/>
  <c r="L7" i="9" s="1"/>
  <c r="L8" i="41"/>
  <c r="L13" i="41"/>
  <c r="M7" i="9" s="1"/>
  <c r="M8" i="41"/>
  <c r="M13" i="41" s="1"/>
  <c r="N7" i="9" s="1"/>
  <c r="N8" i="41"/>
  <c r="N13" i="41" s="1"/>
  <c r="O7" i="9" s="1"/>
  <c r="O8" i="41"/>
  <c r="O13" i="41"/>
  <c r="P7" i="9" s="1"/>
  <c r="P8" i="41"/>
  <c r="P13" i="41"/>
  <c r="Q7" i="9" s="1"/>
  <c r="Q8" i="41"/>
  <c r="Q13" i="41"/>
  <c r="R7" i="9"/>
  <c r="R8" i="41"/>
  <c r="R13" i="41"/>
  <c r="S7" i="9" s="1"/>
  <c r="S8" i="41"/>
  <c r="S13" i="41"/>
  <c r="T7" i="9" s="1"/>
  <c r="T8" i="41"/>
  <c r="U8" i="41"/>
  <c r="U13" i="41" s="1"/>
  <c r="V7" i="9" s="1"/>
  <c r="V8" i="41"/>
  <c r="V13" i="41"/>
  <c r="W7" i="9" s="1"/>
  <c r="W8" i="41"/>
  <c r="W13" i="41"/>
  <c r="X7" i="9"/>
  <c r="X8" i="41"/>
  <c r="X13" i="41"/>
  <c r="Y7" i="9" s="1"/>
  <c r="Y8" i="41"/>
  <c r="Y13" i="41" s="1"/>
  <c r="Z7" i="9" s="1"/>
  <c r="Z8" i="41"/>
  <c r="Z13" i="41"/>
  <c r="AA7" i="9"/>
  <c r="AA8" i="41"/>
  <c r="AA13" i="41"/>
  <c r="AB7" i="9" s="1"/>
  <c r="AB8" i="41"/>
  <c r="AB13" i="41" s="1"/>
  <c r="AC7" i="9" s="1"/>
  <c r="AC8" i="41"/>
  <c r="AC13" i="41"/>
  <c r="AD7" i="9" s="1"/>
  <c r="AD8" i="41"/>
  <c r="AD13" i="41" s="1"/>
  <c r="AE7" i="9" s="1"/>
  <c r="AE8" i="41"/>
  <c r="AE13" i="41"/>
  <c r="AF7" i="9"/>
  <c r="AF8" i="41"/>
  <c r="AF13" i="41" s="1"/>
  <c r="AG7" i="9" s="1"/>
  <c r="AG8" i="41"/>
  <c r="AG13" i="41"/>
  <c r="AH7" i="9" s="1"/>
  <c r="AH8" i="41"/>
  <c r="AH13" i="41"/>
  <c r="I8" i="44"/>
  <c r="L8" i="44"/>
  <c r="M8" i="44" s="1"/>
  <c r="O8" i="44" s="1"/>
  <c r="I9" i="44"/>
  <c r="L9" i="44" s="1"/>
  <c r="M9" i="44" s="1"/>
  <c r="I10" i="44"/>
  <c r="L10" i="44" s="1"/>
  <c r="I11" i="44"/>
  <c r="L11" i="44" s="1"/>
  <c r="M11" i="44" s="1"/>
  <c r="I12" i="44"/>
  <c r="L12" i="44" s="1"/>
  <c r="I13" i="44"/>
  <c r="L13" i="44"/>
  <c r="M13" i="44"/>
  <c r="I14" i="44"/>
  <c r="L14" i="44"/>
  <c r="M14" i="44" s="1"/>
  <c r="N14" i="44" s="1"/>
  <c r="I15" i="44"/>
  <c r="L15" i="44"/>
  <c r="M15" i="44"/>
  <c r="I7" i="44"/>
  <c r="G4" i="39" s="1"/>
  <c r="F10" i="43"/>
  <c r="F3" i="11"/>
  <c r="G3" i="11"/>
  <c r="H3" i="11"/>
  <c r="I3" i="11"/>
  <c r="J3" i="11"/>
  <c r="K3" i="11"/>
  <c r="L3" i="11"/>
  <c r="M3" i="11"/>
  <c r="N3" i="11"/>
  <c r="O3" i="11"/>
  <c r="P3" i="11"/>
  <c r="Q3" i="11"/>
  <c r="R3" i="11"/>
  <c r="S3" i="11"/>
  <c r="T3" i="11"/>
  <c r="U3" i="11"/>
  <c r="E3" i="11"/>
  <c r="D3" i="11"/>
  <c r="C3" i="11"/>
  <c r="B3" i="11"/>
  <c r="D149" i="16"/>
  <c r="B3" i="37"/>
  <c r="B4" i="37"/>
  <c r="C28" i="11"/>
  <c r="C10" i="9"/>
  <c r="D28" i="11"/>
  <c r="D6" i="9"/>
  <c r="D25" i="7"/>
  <c r="D28" i="8"/>
  <c r="E28" i="11"/>
  <c r="E6" i="9"/>
  <c r="E25" i="7"/>
  <c r="E28" i="8" s="1"/>
  <c r="B29" i="11"/>
  <c r="B28" i="11" s="1"/>
  <c r="B30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E9" i="9"/>
  <c r="F9" i="9" s="1"/>
  <c r="G9" i="9" s="1"/>
  <c r="H9" i="9" s="1"/>
  <c r="I9" i="9" s="1"/>
  <c r="J9" i="9" s="1"/>
  <c r="K9" i="9" s="1"/>
  <c r="L9" i="9" s="1"/>
  <c r="M9" i="9" s="1"/>
  <c r="N9" i="9" s="1"/>
  <c r="O9" i="9" s="1"/>
  <c r="P9" i="9" s="1"/>
  <c r="Q9" i="9" s="1"/>
  <c r="R9" i="9" s="1"/>
  <c r="S9" i="9" s="1"/>
  <c r="T9" i="9" s="1"/>
  <c r="U9" i="9" s="1"/>
  <c r="V9" i="9" s="1"/>
  <c r="W9" i="9" s="1"/>
  <c r="X9" i="9" s="1"/>
  <c r="Y9" i="9" s="1"/>
  <c r="Z9" i="9" s="1"/>
  <c r="AA9" i="9" s="1"/>
  <c r="AB9" i="9" s="1"/>
  <c r="AC9" i="9" s="1"/>
  <c r="AD9" i="9" s="1"/>
  <c r="AE9" i="9" s="1"/>
  <c r="AF9" i="9" s="1"/>
  <c r="AG9" i="9" s="1"/>
  <c r="AH9" i="9" s="1"/>
  <c r="I76" i="9"/>
  <c r="D205" i="16"/>
  <c r="AG213" i="16"/>
  <c r="D191" i="16"/>
  <c r="D192" i="16"/>
  <c r="D177" i="16"/>
  <c r="S213" i="16"/>
  <c r="D163" i="16"/>
  <c r="D5" i="2"/>
  <c r="B6" i="8"/>
  <c r="B10" i="8"/>
  <c r="B31" i="29"/>
  <c r="B32" i="29"/>
  <c r="C31" i="29"/>
  <c r="C32" i="29"/>
  <c r="C15" i="29"/>
  <c r="D15" i="29"/>
  <c r="E15" i="29"/>
  <c r="F15" i="29"/>
  <c r="G15" i="29"/>
  <c r="H15" i="29"/>
  <c r="I15" i="29"/>
  <c r="J15" i="29"/>
  <c r="E58" i="29"/>
  <c r="U33" i="29"/>
  <c r="F58" i="29"/>
  <c r="AI1" i="7"/>
  <c r="B22" i="8"/>
  <c r="B4" i="15"/>
  <c r="B23" i="8"/>
  <c r="B24" i="8"/>
  <c r="B25" i="8"/>
  <c r="C34" i="8"/>
  <c r="B26" i="8"/>
  <c r="B27" i="8"/>
  <c r="B28" i="8"/>
  <c r="C37" i="8"/>
  <c r="C165" i="16"/>
  <c r="D3" i="9"/>
  <c r="E3" i="9"/>
  <c r="F3" i="9"/>
  <c r="G3" i="9" s="1"/>
  <c r="H3" i="9" s="1"/>
  <c r="I3" i="9" s="1"/>
  <c r="J3" i="9" s="1"/>
  <c r="K3" i="9" s="1"/>
  <c r="L3" i="9" s="1"/>
  <c r="M3" i="9" s="1"/>
  <c r="N3" i="9" s="1"/>
  <c r="O3" i="9" s="1"/>
  <c r="P3" i="9" s="1"/>
  <c r="Q3" i="9" s="1"/>
  <c r="R3" i="9" s="1"/>
  <c r="S3" i="9" s="1"/>
  <c r="T3" i="9" s="1"/>
  <c r="U3" i="9" s="1"/>
  <c r="V3" i="9" s="1"/>
  <c r="W3" i="9" s="1"/>
  <c r="X3" i="9" s="1"/>
  <c r="Y3" i="9" s="1"/>
  <c r="Z3" i="9" s="1"/>
  <c r="AA3" i="9" s="1"/>
  <c r="AB3" i="9" s="1"/>
  <c r="AC3" i="9" s="1"/>
  <c r="AD3" i="9" s="1"/>
  <c r="AE3" i="9" s="1"/>
  <c r="AF3" i="9" s="1"/>
  <c r="AG3" i="9" s="1"/>
  <c r="AH3" i="9" s="1"/>
  <c r="B11" i="7"/>
  <c r="B16" i="7"/>
  <c r="G6" i="9"/>
  <c r="G25" i="7"/>
  <c r="G28" i="8" s="1"/>
  <c r="H6" i="9"/>
  <c r="J6" i="9"/>
  <c r="J25" i="7"/>
  <c r="J28" i="8" s="1"/>
  <c r="K37" i="8" s="1"/>
  <c r="K6" i="9"/>
  <c r="K25" i="7"/>
  <c r="K28" i="8" s="1"/>
  <c r="L37" i="8" s="1"/>
  <c r="M6" i="9"/>
  <c r="N6" i="9"/>
  <c r="N25" i="7" s="1"/>
  <c r="N28" i="8" s="1"/>
  <c r="O37" i="8" s="1"/>
  <c r="P6" i="9"/>
  <c r="P25" i="7" s="1"/>
  <c r="P28" i="8" s="1"/>
  <c r="Q37" i="8" s="1"/>
  <c r="Q6" i="9"/>
  <c r="Q25" i="7" s="1"/>
  <c r="Q28" i="8" s="1"/>
  <c r="R37" i="8" s="1"/>
  <c r="S6" i="9"/>
  <c r="S25" i="7"/>
  <c r="S28" i="8"/>
  <c r="T37" i="8" s="1"/>
  <c r="T6" i="9"/>
  <c r="T25" i="7" s="1"/>
  <c r="T28" i="8" s="1"/>
  <c r="U37" i="8" s="1"/>
  <c r="V6" i="9"/>
  <c r="V25" i="7" s="1"/>
  <c r="V28" i="8" s="1"/>
  <c r="W37" i="8" s="1"/>
  <c r="W6" i="9"/>
  <c r="Y6" i="9"/>
  <c r="Y25" i="7" s="1"/>
  <c r="Y28" i="8"/>
  <c r="Z37" i="8" s="1"/>
  <c r="Z6" i="9"/>
  <c r="Z25" i="7" s="1"/>
  <c r="Z28" i="8" s="1"/>
  <c r="AA37" i="8" s="1"/>
  <c r="AB6" i="9"/>
  <c r="AC6" i="9"/>
  <c r="AC25" i="7"/>
  <c r="AC28" i="8" s="1"/>
  <c r="AD37" i="8" s="1"/>
  <c r="AE6" i="9"/>
  <c r="AE25" i="7"/>
  <c r="AE28" i="8"/>
  <c r="AF37" i="8" s="1"/>
  <c r="AF6" i="9"/>
  <c r="AF25" i="7"/>
  <c r="AF28" i="8"/>
  <c r="AG37" i="8" s="1"/>
  <c r="AG6" i="9"/>
  <c r="AG25" i="7" s="1"/>
  <c r="AG28" i="8" s="1"/>
  <c r="B26" i="7"/>
  <c r="B2" i="10"/>
  <c r="B3" i="10"/>
  <c r="B9" i="10"/>
  <c r="B58" i="10" s="1"/>
  <c r="C13" i="8" s="1"/>
  <c r="B4" i="10"/>
  <c r="C16" i="10"/>
  <c r="C17" i="10"/>
  <c r="C18" i="10"/>
  <c r="D32" i="10"/>
  <c r="E46" i="10"/>
  <c r="B31" i="7"/>
  <c r="B39" i="7"/>
  <c r="B27" i="29" s="1"/>
  <c r="AI1" i="8"/>
  <c r="B11" i="8"/>
  <c r="B12" i="8"/>
  <c r="B40" i="8"/>
  <c r="C39" i="8"/>
  <c r="AK1" i="2"/>
  <c r="B5" i="2"/>
  <c r="B18" i="2" s="1"/>
  <c r="B23" i="2" s="1"/>
  <c r="B27" i="2" s="1"/>
  <c r="B29" i="2" s="1"/>
  <c r="C5" i="2"/>
  <c r="B9" i="2"/>
  <c r="C9" i="2"/>
  <c r="D9" i="2"/>
  <c r="D18" i="2"/>
  <c r="B5" i="15"/>
  <c r="B6" i="15"/>
  <c r="B7" i="15"/>
  <c r="B8" i="15"/>
  <c r="C67" i="16"/>
  <c r="AI67" i="16"/>
  <c r="AI68" i="16" s="1"/>
  <c r="C230" i="16"/>
  <c r="D220" i="16"/>
  <c r="D292" i="16"/>
  <c r="D10" i="16"/>
  <c r="D80" i="16"/>
  <c r="D151" i="16"/>
  <c r="F213" i="16"/>
  <c r="D222" i="16"/>
  <c r="F284" i="16"/>
  <c r="D294" i="16"/>
  <c r="D12" i="16"/>
  <c r="D82" i="16"/>
  <c r="D153" i="16"/>
  <c r="D224" i="16"/>
  <c r="D225" i="16"/>
  <c r="G355" i="16"/>
  <c r="D14" i="16"/>
  <c r="D84" i="16"/>
  <c r="H142" i="16"/>
  <c r="D155" i="16"/>
  <c r="D226" i="16"/>
  <c r="D298" i="16"/>
  <c r="D16" i="16"/>
  <c r="D87" i="16"/>
  <c r="D158" i="16"/>
  <c r="D18" i="16"/>
  <c r="D89" i="16"/>
  <c r="D160" i="16"/>
  <c r="D230" i="16"/>
  <c r="D231" i="16" s="1"/>
  <c r="D20" i="16"/>
  <c r="D91" i="16"/>
  <c r="D162" i="16"/>
  <c r="D232" i="16"/>
  <c r="D22" i="16"/>
  <c r="D93" i="16"/>
  <c r="D234" i="16"/>
  <c r="D235" i="16" s="1"/>
  <c r="L355" i="16"/>
  <c r="D24" i="16"/>
  <c r="D95" i="16"/>
  <c r="D166" i="16"/>
  <c r="D236" i="16"/>
  <c r="D237" i="16" s="1"/>
  <c r="D26" i="16"/>
  <c r="D97" i="16"/>
  <c r="D168" i="16"/>
  <c r="D238" i="16"/>
  <c r="D239" i="16" s="1"/>
  <c r="D310" i="16"/>
  <c r="D28" i="16"/>
  <c r="D99" i="16"/>
  <c r="D170" i="16"/>
  <c r="D240" i="16"/>
  <c r="O284" i="16" s="1"/>
  <c r="O355" i="16"/>
  <c r="D30" i="16"/>
  <c r="D101" i="16"/>
  <c r="D172" i="16"/>
  <c r="D242" i="16"/>
  <c r="D243" i="16"/>
  <c r="D244" i="16"/>
  <c r="D32" i="16"/>
  <c r="D103" i="16"/>
  <c r="D174" i="16"/>
  <c r="D316" i="16"/>
  <c r="D34" i="16"/>
  <c r="D105" i="16"/>
  <c r="D176" i="16"/>
  <c r="D36" i="16"/>
  <c r="D107" i="16"/>
  <c r="D248" i="16"/>
  <c r="S284" i="16" s="1"/>
  <c r="D38" i="16"/>
  <c r="D109" i="16"/>
  <c r="D180" i="16"/>
  <c r="D250" i="16"/>
  <c r="T284" i="16"/>
  <c r="D40" i="16"/>
  <c r="D111" i="16"/>
  <c r="D182" i="16"/>
  <c r="D252" i="16"/>
  <c r="U284" i="16" s="1"/>
  <c r="U355" i="16"/>
  <c r="D42" i="16"/>
  <c r="D113" i="16"/>
  <c r="D184" i="16"/>
  <c r="D254" i="16"/>
  <c r="D326" i="16"/>
  <c r="D44" i="16"/>
  <c r="D115" i="16"/>
  <c r="D186" i="16"/>
  <c r="D256" i="16"/>
  <c r="W284" i="16"/>
  <c r="D328" i="16"/>
  <c r="D46" i="16"/>
  <c r="D117" i="16"/>
  <c r="D188" i="16"/>
  <c r="D258" i="16"/>
  <c r="X284" i="16" s="1"/>
  <c r="D48" i="16"/>
  <c r="D119" i="16"/>
  <c r="D190" i="16"/>
  <c r="D260" i="16"/>
  <c r="D261" i="16"/>
  <c r="D50" i="16"/>
  <c r="D121" i="16"/>
  <c r="D262" i="16"/>
  <c r="D263" i="16"/>
  <c r="Z284" i="16"/>
  <c r="D52" i="16"/>
  <c r="D123" i="16"/>
  <c r="D194" i="16"/>
  <c r="D264" i="16"/>
  <c r="D265" i="16"/>
  <c r="D54" i="16"/>
  <c r="D125" i="16"/>
  <c r="D196" i="16"/>
  <c r="D266" i="16"/>
  <c r="D56" i="16"/>
  <c r="D127" i="16"/>
  <c r="D198" i="16"/>
  <c r="D268" i="16"/>
  <c r="AC355" i="16"/>
  <c r="D58" i="16"/>
  <c r="D129" i="16"/>
  <c r="D200" i="16"/>
  <c r="D270" i="16"/>
  <c r="AD355" i="16"/>
  <c r="D60" i="16"/>
  <c r="D131" i="16"/>
  <c r="D202" i="16"/>
  <c r="D272" i="16"/>
  <c r="D273" i="16" s="1"/>
  <c r="D62" i="16"/>
  <c r="D133" i="16"/>
  <c r="D204" i="16"/>
  <c r="D274" i="16"/>
  <c r="AF355" i="16"/>
  <c r="D64" i="16"/>
  <c r="D135" i="16"/>
  <c r="D276" i="16"/>
  <c r="AG284" i="16"/>
  <c r="AG362" i="16" s="1"/>
  <c r="AG355" i="16"/>
  <c r="D66" i="16"/>
  <c r="D137" i="16"/>
  <c r="D208" i="16"/>
  <c r="D278" i="16"/>
  <c r="D350" i="16"/>
  <c r="D68" i="16"/>
  <c r="D139" i="16"/>
  <c r="D210" i="16"/>
  <c r="D281" i="16"/>
  <c r="D352" i="16"/>
  <c r="G71" i="16"/>
  <c r="H71" i="16"/>
  <c r="I71" i="16"/>
  <c r="I142" i="16"/>
  <c r="I213" i="16"/>
  <c r="J71" i="16"/>
  <c r="J142" i="16"/>
  <c r="J213" i="16"/>
  <c r="K71" i="16"/>
  <c r="K142" i="16"/>
  <c r="K213" i="16"/>
  <c r="L71" i="16"/>
  <c r="L142" i="16"/>
  <c r="M71" i="16"/>
  <c r="M142" i="16"/>
  <c r="M213" i="16"/>
  <c r="N71" i="16"/>
  <c r="N142" i="16"/>
  <c r="N213" i="16"/>
  <c r="O71" i="16"/>
  <c r="O142" i="16"/>
  <c r="O213" i="16"/>
  <c r="P71" i="16"/>
  <c r="P142" i="16"/>
  <c r="P213" i="16"/>
  <c r="Q71" i="16"/>
  <c r="Q142" i="16"/>
  <c r="Q213" i="16"/>
  <c r="R71" i="16"/>
  <c r="R142" i="16"/>
  <c r="R213" i="16"/>
  <c r="S71" i="16"/>
  <c r="S142" i="16"/>
  <c r="T71" i="16"/>
  <c r="T142" i="16"/>
  <c r="T213" i="16"/>
  <c r="U71" i="16"/>
  <c r="U142" i="16"/>
  <c r="U213" i="16"/>
  <c r="V71" i="16"/>
  <c r="V142" i="16"/>
  <c r="V213" i="16"/>
  <c r="W71" i="16"/>
  <c r="W142" i="16"/>
  <c r="W213" i="16"/>
  <c r="X71" i="16"/>
  <c r="X142" i="16"/>
  <c r="X213" i="16"/>
  <c r="Y71" i="16"/>
  <c r="Y142" i="16"/>
  <c r="Y213" i="16"/>
  <c r="Z71" i="16"/>
  <c r="Z142" i="16"/>
  <c r="AA71" i="16"/>
  <c r="AA142" i="16"/>
  <c r="AA213" i="16"/>
  <c r="AB71" i="16"/>
  <c r="AB142" i="16"/>
  <c r="AB213" i="16"/>
  <c r="AC71" i="16"/>
  <c r="AC142" i="16"/>
  <c r="AC213" i="16"/>
  <c r="AD71" i="16"/>
  <c r="AD142" i="16"/>
  <c r="AD213" i="16"/>
  <c r="AE71" i="16"/>
  <c r="AE142" i="16"/>
  <c r="AE213" i="16"/>
  <c r="AF71" i="16"/>
  <c r="AF142" i="16"/>
  <c r="AF213" i="16"/>
  <c r="AG71" i="16"/>
  <c r="AG142" i="16"/>
  <c r="AH71" i="16"/>
  <c r="AH142" i="16"/>
  <c r="AH213" i="16"/>
  <c r="AI71" i="16"/>
  <c r="AI142" i="16"/>
  <c r="AI213" i="16"/>
  <c r="AI284" i="16"/>
  <c r="AI355" i="16"/>
  <c r="B19" i="37"/>
  <c r="D5" i="9"/>
  <c r="E5" i="9"/>
  <c r="F5" i="9" s="1"/>
  <c r="G5" i="9" s="1"/>
  <c r="H5" i="9" s="1"/>
  <c r="I5" i="9" s="1"/>
  <c r="J5" i="9" s="1"/>
  <c r="K5" i="9" s="1"/>
  <c r="L5" i="9" s="1"/>
  <c r="M5" i="9" s="1"/>
  <c r="N5" i="9"/>
  <c r="O5" i="9" s="1"/>
  <c r="P5" i="9" s="1"/>
  <c r="Q5" i="9" s="1"/>
  <c r="R5" i="9" s="1"/>
  <c r="S5" i="9" s="1"/>
  <c r="T5" i="9" s="1"/>
  <c r="U5" i="9" s="1"/>
  <c r="V5" i="9" s="1"/>
  <c r="W5" i="9" s="1"/>
  <c r="X5" i="9" s="1"/>
  <c r="Y5" i="9" s="1"/>
  <c r="Z5" i="9" s="1"/>
  <c r="AA5" i="9" s="1"/>
  <c r="AB5" i="9" s="1"/>
  <c r="AC5" i="9" s="1"/>
  <c r="AD5" i="9" s="1"/>
  <c r="AE5" i="9" s="1"/>
  <c r="AF5" i="9" s="1"/>
  <c r="AG5" i="9" s="1"/>
  <c r="D4" i="9"/>
  <c r="E4" i="9"/>
  <c r="F4" i="9"/>
  <c r="G4" i="9" s="1"/>
  <c r="H4" i="9" s="1"/>
  <c r="I4" i="9" s="1"/>
  <c r="J4" i="9" s="1"/>
  <c r="K4" i="9" s="1"/>
  <c r="L4" i="9" s="1"/>
  <c r="M4" i="9" s="1"/>
  <c r="N4" i="9" s="1"/>
  <c r="O4" i="9" s="1"/>
  <c r="P4" i="9" s="1"/>
  <c r="Q4" i="9" s="1"/>
  <c r="R4" i="9" s="1"/>
  <c r="S4" i="9" s="1"/>
  <c r="T4" i="9" s="1"/>
  <c r="U4" i="9" s="1"/>
  <c r="V4" i="9" s="1"/>
  <c r="W4" i="9" s="1"/>
  <c r="X4" i="9" s="1"/>
  <c r="Y4" i="9" s="1"/>
  <c r="Z4" i="9" s="1"/>
  <c r="AA4" i="9" s="1"/>
  <c r="AB4" i="9" s="1"/>
  <c r="AC4" i="9" s="1"/>
  <c r="AD4" i="9" s="1"/>
  <c r="AE4" i="9" s="1"/>
  <c r="AF4" i="9" s="1"/>
  <c r="AG4" i="9" s="1"/>
  <c r="AH4" i="9" s="1"/>
  <c r="B5" i="10"/>
  <c r="W12" i="10" s="1"/>
  <c r="C19" i="10"/>
  <c r="U26" i="10"/>
  <c r="D33" i="10"/>
  <c r="P40" i="10"/>
  <c r="D30" i="10"/>
  <c r="D31" i="10" s="1"/>
  <c r="E47" i="10"/>
  <c r="AB54" i="10" s="1"/>
  <c r="E44" i="10"/>
  <c r="E45" i="10"/>
  <c r="B10" i="9"/>
  <c r="D15" i="9"/>
  <c r="B18" i="34"/>
  <c r="D67" i="9"/>
  <c r="E67" i="9"/>
  <c r="F67" i="9" s="1"/>
  <c r="G67" i="9" s="1"/>
  <c r="H67" i="9" s="1"/>
  <c r="I67" i="9" s="1"/>
  <c r="J67" i="9"/>
  <c r="K67" i="9" s="1"/>
  <c r="L67" i="9" s="1"/>
  <c r="M67" i="9" s="1"/>
  <c r="N67" i="9" s="1"/>
  <c r="O67" i="9" s="1"/>
  <c r="P67" i="9" s="1"/>
  <c r="Q67" i="9" s="1"/>
  <c r="R67" i="9" s="1"/>
  <c r="S67" i="9"/>
  <c r="T67" i="9" s="1"/>
  <c r="U67" i="9" s="1"/>
  <c r="V67" i="9" s="1"/>
  <c r="W67" i="9" s="1"/>
  <c r="X67" i="9" s="1"/>
  <c r="Y67" i="9" s="1"/>
  <c r="Z67" i="9" s="1"/>
  <c r="AA67" i="9" s="1"/>
  <c r="AB67" i="9" s="1"/>
  <c r="AC67" i="9" s="1"/>
  <c r="AD67" i="9" s="1"/>
  <c r="AE67" i="9" s="1"/>
  <c r="AF67" i="9" s="1"/>
  <c r="AG67" i="9" s="1"/>
  <c r="AH67" i="9" s="1"/>
  <c r="AI57" i="10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B57" i="10"/>
  <c r="AI50" i="10"/>
  <c r="AH50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B50" i="10"/>
  <c r="AI36" i="10"/>
  <c r="AH3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B36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B22" i="10"/>
  <c r="AH6" i="9"/>
  <c r="D14" i="9"/>
  <c r="E14" i="9"/>
  <c r="F14" i="9" s="1"/>
  <c r="G14" i="9" s="1"/>
  <c r="H14" i="9" s="1"/>
  <c r="I14" i="9" s="1"/>
  <c r="J14" i="9" s="1"/>
  <c r="K14" i="9" s="1"/>
  <c r="L14" i="9" s="1"/>
  <c r="M14" i="9" s="1"/>
  <c r="N14" i="9" s="1"/>
  <c r="O14" i="9"/>
  <c r="P14" i="9" s="1"/>
  <c r="Q14" i="9" s="1"/>
  <c r="R14" i="9" s="1"/>
  <c r="S14" i="9" s="1"/>
  <c r="T14" i="9" s="1"/>
  <c r="U14" i="9" s="1"/>
  <c r="V14" i="9" s="1"/>
  <c r="W14" i="9" s="1"/>
  <c r="X14" i="9" s="1"/>
  <c r="Y14" i="9" s="1"/>
  <c r="Z14" i="9" s="1"/>
  <c r="AA14" i="9" s="1"/>
  <c r="AB14" i="9" s="1"/>
  <c r="AC14" i="9" s="1"/>
  <c r="AD14" i="9" s="1"/>
  <c r="AE14" i="9" s="1"/>
  <c r="AF14" i="9" s="1"/>
  <c r="AG14" i="9" s="1"/>
  <c r="AH14" i="9" s="1"/>
  <c r="D64" i="9"/>
  <c r="E64" i="9"/>
  <c r="F64" i="9" s="1"/>
  <c r="G64" i="9" s="1"/>
  <c r="H64" i="9" s="1"/>
  <c r="I64" i="9" s="1"/>
  <c r="J64" i="9" s="1"/>
  <c r="K64" i="9"/>
  <c r="L64" i="9" s="1"/>
  <c r="M64" i="9" s="1"/>
  <c r="N64" i="9" s="1"/>
  <c r="O64" i="9" s="1"/>
  <c r="P64" i="9" s="1"/>
  <c r="Q64" i="9" s="1"/>
  <c r="R64" i="9" s="1"/>
  <c r="S64" i="9" s="1"/>
  <c r="T64" i="9" s="1"/>
  <c r="U64" i="9" s="1"/>
  <c r="V64" i="9" s="1"/>
  <c r="W64" i="9" s="1"/>
  <c r="X64" i="9" s="1"/>
  <c r="Y64" i="9" s="1"/>
  <c r="Z64" i="9" s="1"/>
  <c r="AA64" i="9" s="1"/>
  <c r="AB64" i="9" s="1"/>
  <c r="AC64" i="9" s="1"/>
  <c r="AD64" i="9" s="1"/>
  <c r="AE64" i="9" s="1"/>
  <c r="AF64" i="9" s="1"/>
  <c r="AG64" i="9" s="1"/>
  <c r="AH64" i="9" s="1"/>
  <c r="F6" i="9"/>
  <c r="F25" i="7"/>
  <c r="F28" i="8" s="1"/>
  <c r="I6" i="9"/>
  <c r="I25" i="7" s="1"/>
  <c r="I28" i="8" s="1"/>
  <c r="J37" i="8" s="1"/>
  <c r="L6" i="9"/>
  <c r="O6" i="9"/>
  <c r="O25" i="7" s="1"/>
  <c r="O28" i="8" s="1"/>
  <c r="P37" i="8" s="1"/>
  <c r="R6" i="9"/>
  <c r="U6" i="9"/>
  <c r="U25" i="7"/>
  <c r="U28" i="8"/>
  <c r="V37" i="8" s="1"/>
  <c r="X6" i="9"/>
  <c r="X25" i="7"/>
  <c r="X28" i="8" s="1"/>
  <c r="Y37" i="8" s="1"/>
  <c r="AA6" i="9"/>
  <c r="AA25" i="7" s="1"/>
  <c r="AA28" i="8" s="1"/>
  <c r="AB37" i="8" s="1"/>
  <c r="AD6" i="9"/>
  <c r="AD25" i="7" s="1"/>
  <c r="AD28" i="8" s="1"/>
  <c r="AE37" i="8" s="1"/>
  <c r="F146" i="17"/>
  <c r="G146" i="17"/>
  <c r="H146" i="17"/>
  <c r="I146" i="17"/>
  <c r="J146" i="17"/>
  <c r="K146" i="17"/>
  <c r="L146" i="17"/>
  <c r="M146" i="17"/>
  <c r="N146" i="17"/>
  <c r="O146" i="17"/>
  <c r="P146" i="17"/>
  <c r="Q146" i="17"/>
  <c r="R146" i="17"/>
  <c r="S146" i="17"/>
  <c r="T146" i="17"/>
  <c r="U146" i="17"/>
  <c r="V146" i="17"/>
  <c r="W146" i="17"/>
  <c r="X146" i="17"/>
  <c r="Y146" i="17"/>
  <c r="Z146" i="17"/>
  <c r="AA146" i="17"/>
  <c r="AB146" i="17"/>
  <c r="AC146" i="17"/>
  <c r="AD146" i="17"/>
  <c r="AE146" i="17"/>
  <c r="AF146" i="17"/>
  <c r="AG146" i="17"/>
  <c r="AH146" i="17"/>
  <c r="AI146" i="17"/>
  <c r="E146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I287" i="16"/>
  <c r="A351" i="16" s="1"/>
  <c r="AH287" i="16"/>
  <c r="A349" i="16"/>
  <c r="AG287" i="16"/>
  <c r="A348" i="16" s="1"/>
  <c r="AF287" i="16"/>
  <c r="A345" i="16"/>
  <c r="AE287" i="16"/>
  <c r="A344" i="16" s="1"/>
  <c r="AD287" i="16"/>
  <c r="A342" i="16"/>
  <c r="A341" i="16"/>
  <c r="AC287" i="16"/>
  <c r="AB287" i="16"/>
  <c r="A337" i="16"/>
  <c r="A338" i="16"/>
  <c r="AA287" i="16"/>
  <c r="A336" i="16" s="1"/>
  <c r="Z287" i="16"/>
  <c r="Y287" i="16"/>
  <c r="A332" i="16"/>
  <c r="X287" i="16"/>
  <c r="W287" i="16"/>
  <c r="A327" i="16"/>
  <c r="V287" i="16"/>
  <c r="A326" i="16" s="1"/>
  <c r="U287" i="16"/>
  <c r="T287" i="16"/>
  <c r="S287" i="16"/>
  <c r="R287" i="16"/>
  <c r="A318" i="16" s="1"/>
  <c r="Q287" i="16"/>
  <c r="P287" i="16"/>
  <c r="A313" i="16" s="1"/>
  <c r="O287" i="16"/>
  <c r="A312" i="16" s="1"/>
  <c r="N287" i="16"/>
  <c r="M287" i="16"/>
  <c r="A307" i="16"/>
  <c r="L287" i="16"/>
  <c r="A305" i="16"/>
  <c r="K287" i="16"/>
  <c r="A303" i="16"/>
  <c r="J287" i="16"/>
  <c r="A301" i="16"/>
  <c r="I287" i="16"/>
  <c r="A300" i="16"/>
  <c r="H287" i="16"/>
  <c r="A297" i="16"/>
  <c r="G287" i="16"/>
  <c r="A296" i="16"/>
  <c r="A295" i="16"/>
  <c r="F287" i="16"/>
  <c r="E287" i="16"/>
  <c r="AI216" i="16"/>
  <c r="A280" i="16" s="1"/>
  <c r="AH216" i="16"/>
  <c r="A279" i="16" s="1"/>
  <c r="AG216" i="16"/>
  <c r="AF216" i="16"/>
  <c r="AE216" i="16"/>
  <c r="A273" i="16"/>
  <c r="A272" i="16"/>
  <c r="AD216" i="16"/>
  <c r="AC216" i="16"/>
  <c r="A269" i="16" s="1"/>
  <c r="AB216" i="16"/>
  <c r="A266" i="16"/>
  <c r="AA216" i="16"/>
  <c r="Z216" i="16"/>
  <c r="Y216" i="16"/>
  <c r="X216" i="16"/>
  <c r="A259" i="16"/>
  <c r="W216" i="16"/>
  <c r="A257" i="16" s="1"/>
  <c r="V216" i="16"/>
  <c r="U216" i="16"/>
  <c r="A253" i="16"/>
  <c r="T216" i="16"/>
  <c r="A251" i="16" s="1"/>
  <c r="S216" i="16"/>
  <c r="A249" i="16"/>
  <c r="A248" i="16"/>
  <c r="R216" i="16"/>
  <c r="A247" i="16"/>
  <c r="Q216" i="16"/>
  <c r="A244" i="16"/>
  <c r="P216" i="16"/>
  <c r="A243" i="16"/>
  <c r="O216" i="16"/>
  <c r="N216" i="16"/>
  <c r="A238" i="16"/>
  <c r="M216" i="16"/>
  <c r="A236" i="16" s="1"/>
  <c r="A237" i="16"/>
  <c r="L216" i="16"/>
  <c r="K216" i="16"/>
  <c r="A232" i="16"/>
  <c r="A233" i="16"/>
  <c r="J216" i="16"/>
  <c r="I216" i="16"/>
  <c r="A229" i="16" s="1"/>
  <c r="H216" i="16"/>
  <c r="A227" i="16"/>
  <c r="G216" i="16"/>
  <c r="A224" i="16"/>
  <c r="F216" i="16"/>
  <c r="A223" i="16" s="1"/>
  <c r="E216" i="16"/>
  <c r="A221" i="16" s="1"/>
  <c r="AI145" i="16"/>
  <c r="A210" i="16"/>
  <c r="AH145" i="16"/>
  <c r="A208" i="16"/>
  <c r="AG145" i="16"/>
  <c r="A205" i="16" s="1"/>
  <c r="AF145" i="16"/>
  <c r="A203" i="16" s="1"/>
  <c r="AE145" i="16"/>
  <c r="AD145" i="16"/>
  <c r="A199" i="16"/>
  <c r="AC145" i="16"/>
  <c r="AB145" i="16"/>
  <c r="A195" i="16" s="1"/>
  <c r="AA145" i="16"/>
  <c r="A193" i="16"/>
  <c r="Z145" i="16"/>
  <c r="Y145" i="16"/>
  <c r="X145" i="16"/>
  <c r="W145" i="16"/>
  <c r="A186" i="16" s="1"/>
  <c r="V145" i="16"/>
  <c r="U145" i="16"/>
  <c r="A182" i="16"/>
  <c r="T145" i="16"/>
  <c r="S145" i="16"/>
  <c r="R145" i="16"/>
  <c r="Q145" i="16"/>
  <c r="A173" i="16"/>
  <c r="A174" i="16"/>
  <c r="P145" i="16"/>
  <c r="A171" i="16"/>
  <c r="A172" i="16"/>
  <c r="O145" i="16"/>
  <c r="A170" i="16"/>
  <c r="N145" i="16"/>
  <c r="A168" i="16"/>
  <c r="M145" i="16"/>
  <c r="A165" i="16"/>
  <c r="A166" i="16"/>
  <c r="L145" i="16"/>
  <c r="A164" i="16" s="1"/>
  <c r="K145" i="16"/>
  <c r="J145" i="16"/>
  <c r="I145" i="16"/>
  <c r="A158" i="16" s="1"/>
  <c r="H145" i="16"/>
  <c r="A155" i="16"/>
  <c r="G145" i="16"/>
  <c r="A153" i="16" s="1"/>
  <c r="F145" i="16"/>
  <c r="A151" i="16" s="1"/>
  <c r="E145" i="16"/>
  <c r="AI74" i="16"/>
  <c r="AH74" i="16"/>
  <c r="AG74" i="16"/>
  <c r="A134" i="16" s="1"/>
  <c r="AF74" i="16"/>
  <c r="A132" i="16" s="1"/>
  <c r="AE74" i="16"/>
  <c r="A131" i="16"/>
  <c r="A130" i="16"/>
  <c r="AD74" i="16"/>
  <c r="AC74" i="16"/>
  <c r="AB74" i="16"/>
  <c r="A124" i="16" s="1"/>
  <c r="AA74" i="16"/>
  <c r="A122" i="16" s="1"/>
  <c r="A123" i="16"/>
  <c r="Z74" i="16"/>
  <c r="A120" i="16"/>
  <c r="Y74" i="16"/>
  <c r="A119" i="16" s="1"/>
  <c r="X74" i="16"/>
  <c r="A117" i="16"/>
  <c r="W74" i="16"/>
  <c r="V74" i="16"/>
  <c r="A112" i="16" s="1"/>
  <c r="U74" i="16"/>
  <c r="A111" i="16"/>
  <c r="T74" i="16"/>
  <c r="S74" i="16"/>
  <c r="A107" i="16"/>
  <c r="R74" i="16"/>
  <c r="Q74" i="16"/>
  <c r="P74" i="16"/>
  <c r="A101" i="16"/>
  <c r="O74" i="16"/>
  <c r="N74" i="16"/>
  <c r="A97" i="16" s="1"/>
  <c r="M74" i="16"/>
  <c r="A95" i="16" s="1"/>
  <c r="A94" i="16"/>
  <c r="L74" i="16"/>
  <c r="A92" i="16"/>
  <c r="A93" i="16"/>
  <c r="K74" i="16"/>
  <c r="A90" i="16" s="1"/>
  <c r="J74" i="16"/>
  <c r="I74" i="16"/>
  <c r="A86" i="16"/>
  <c r="H74" i="16"/>
  <c r="G74" i="16"/>
  <c r="F74" i="16"/>
  <c r="E74" i="16"/>
  <c r="A7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F359" i="16"/>
  <c r="G359" i="16"/>
  <c r="H359" i="16"/>
  <c r="I359" i="16"/>
  <c r="J359" i="16"/>
  <c r="K359" i="16"/>
  <c r="L359" i="16"/>
  <c r="M359" i="16"/>
  <c r="N359" i="16"/>
  <c r="O359" i="16"/>
  <c r="P359" i="16"/>
  <c r="Q359" i="16"/>
  <c r="R359" i="16"/>
  <c r="S359" i="16"/>
  <c r="T359" i="16"/>
  <c r="U359" i="16"/>
  <c r="V359" i="16"/>
  <c r="W359" i="16"/>
  <c r="X359" i="16"/>
  <c r="Y359" i="16"/>
  <c r="Z359" i="16"/>
  <c r="AA359" i="16"/>
  <c r="AB359" i="16"/>
  <c r="AC359" i="16"/>
  <c r="AD359" i="16"/>
  <c r="AE359" i="16"/>
  <c r="AF359" i="16"/>
  <c r="AG359" i="16"/>
  <c r="AH359" i="16"/>
  <c r="AI359" i="16"/>
  <c r="E359" i="16"/>
  <c r="A10" i="16"/>
  <c r="A9" i="16"/>
  <c r="A8" i="16"/>
  <c r="A7" i="16"/>
  <c r="B149" i="16"/>
  <c r="D5" i="17"/>
  <c r="E5" i="17"/>
  <c r="C7" i="17"/>
  <c r="C9" i="17"/>
  <c r="D10" i="17"/>
  <c r="C11" i="17"/>
  <c r="G11" i="17"/>
  <c r="D12" i="17"/>
  <c r="C13" i="17"/>
  <c r="H13" i="17"/>
  <c r="D14" i="17"/>
  <c r="C15" i="17"/>
  <c r="D16" i="17"/>
  <c r="C17" i="17"/>
  <c r="J17" i="17"/>
  <c r="D18" i="17"/>
  <c r="C19" i="17"/>
  <c r="D20" i="17"/>
  <c r="C21" i="17"/>
  <c r="L21" i="17"/>
  <c r="L22" i="17" s="1"/>
  <c r="D22" i="17"/>
  <c r="C23" i="17"/>
  <c r="D24" i="17"/>
  <c r="C25" i="17"/>
  <c r="D26" i="17"/>
  <c r="C27" i="17"/>
  <c r="D28" i="17"/>
  <c r="C29" i="17"/>
  <c r="D30" i="17"/>
  <c r="P29" i="17" s="1"/>
  <c r="C31" i="17"/>
  <c r="Q31" i="17" s="1"/>
  <c r="D32" i="17"/>
  <c r="C33" i="17"/>
  <c r="D34" i="17"/>
  <c r="C35" i="17"/>
  <c r="D36" i="17"/>
  <c r="S35" i="17" s="1"/>
  <c r="C37" i="17"/>
  <c r="T37" i="17" s="1"/>
  <c r="D38" i="17"/>
  <c r="C39" i="17"/>
  <c r="U39" i="17"/>
  <c r="D40" i="17"/>
  <c r="C41" i="17"/>
  <c r="V41" i="17"/>
  <c r="D42" i="17"/>
  <c r="C43" i="17"/>
  <c r="D44" i="17"/>
  <c r="C45" i="17"/>
  <c r="X45" i="17"/>
  <c r="D46" i="17"/>
  <c r="C47" i="17"/>
  <c r="Y47" i="17"/>
  <c r="D48" i="17"/>
  <c r="C49" i="17"/>
  <c r="Z49" i="17"/>
  <c r="D50" i="17"/>
  <c r="C51" i="17"/>
  <c r="AA51" i="17" s="1"/>
  <c r="D52" i="17"/>
  <c r="C53" i="17"/>
  <c r="D54" i="17"/>
  <c r="C55" i="17"/>
  <c r="D56" i="17"/>
  <c r="C57" i="17"/>
  <c r="AD57" i="17"/>
  <c r="D58" i="17"/>
  <c r="C59" i="17"/>
  <c r="D60" i="17"/>
  <c r="C61" i="17"/>
  <c r="AF61" i="17"/>
  <c r="D62" i="17"/>
  <c r="C63" i="17"/>
  <c r="D64" i="17"/>
  <c r="C65" i="17"/>
  <c r="D66" i="17"/>
  <c r="C67" i="17"/>
  <c r="AI67" i="17" s="1"/>
  <c r="D68" i="17"/>
  <c r="AE58" i="10"/>
  <c r="AF13" i="8"/>
  <c r="AD58" i="10"/>
  <c r="AE13" i="8"/>
  <c r="AC58" i="10"/>
  <c r="AD13" i="8" s="1"/>
  <c r="AB58" i="10"/>
  <c r="AC13" i="8"/>
  <c r="AA58" i="10"/>
  <c r="AB13" i="8"/>
  <c r="Z58" i="10"/>
  <c r="AA13" i="8"/>
  <c r="Y58" i="10"/>
  <c r="Z13" i="8" s="1"/>
  <c r="X58" i="10"/>
  <c r="Y13" i="8"/>
  <c r="W58" i="10"/>
  <c r="X13" i="8"/>
  <c r="V58" i="10"/>
  <c r="W13" i="8"/>
  <c r="U58" i="10"/>
  <c r="V13" i="8" s="1"/>
  <c r="T58" i="10"/>
  <c r="U13" i="8"/>
  <c r="S58" i="10"/>
  <c r="T13" i="8"/>
  <c r="R58" i="10"/>
  <c r="S13" i="8"/>
  <c r="Q58" i="10"/>
  <c r="R13" i="8" s="1"/>
  <c r="P58" i="10"/>
  <c r="Q13" i="8"/>
  <c r="O58" i="10"/>
  <c r="P13" i="8"/>
  <c r="N58" i="10"/>
  <c r="O13" i="8"/>
  <c r="M58" i="10"/>
  <c r="N13" i="8" s="1"/>
  <c r="L58" i="10"/>
  <c r="M13" i="8"/>
  <c r="K58" i="10"/>
  <c r="L13" i="8"/>
  <c r="J58" i="10"/>
  <c r="K13" i="8"/>
  <c r="I58" i="10"/>
  <c r="J13" i="8" s="1"/>
  <c r="H58" i="10"/>
  <c r="I13" i="8"/>
  <c r="G58" i="10"/>
  <c r="H13" i="8"/>
  <c r="F58" i="10"/>
  <c r="G13" i="8"/>
  <c r="M71" i="17"/>
  <c r="M149" i="17" s="1"/>
  <c r="N71" i="17"/>
  <c r="N149" i="17"/>
  <c r="T71" i="17"/>
  <c r="T149" i="17"/>
  <c r="V71" i="17"/>
  <c r="V149" i="17"/>
  <c r="W71" i="17"/>
  <c r="W149" i="17" s="1"/>
  <c r="X71" i="17"/>
  <c r="X149" i="17"/>
  <c r="AH71" i="17"/>
  <c r="AH149" i="17"/>
  <c r="O71" i="17"/>
  <c r="O149" i="17"/>
  <c r="P71" i="17"/>
  <c r="P149" i="17" s="1"/>
  <c r="Q71" i="17"/>
  <c r="Q149" i="17"/>
  <c r="I71" i="17"/>
  <c r="I149" i="17"/>
  <c r="C1" i="10"/>
  <c r="D1" i="10"/>
  <c r="E1" i="10"/>
  <c r="F1" i="10" s="1"/>
  <c r="D15" i="10"/>
  <c r="E15" i="10"/>
  <c r="F15" i="10" s="1"/>
  <c r="G15" i="10"/>
  <c r="H15" i="10" s="1"/>
  <c r="I15" i="10" s="1"/>
  <c r="J15" i="10" s="1"/>
  <c r="K15" i="10" s="1"/>
  <c r="L15" i="10" s="1"/>
  <c r="M15" i="10" s="1"/>
  <c r="E29" i="10"/>
  <c r="F29" i="10"/>
  <c r="F43" i="10"/>
  <c r="G43" i="10"/>
  <c r="H71" i="17"/>
  <c r="H149" i="17"/>
  <c r="G71" i="17"/>
  <c r="G149" i="17" s="1"/>
  <c r="F71" i="17"/>
  <c r="F149" i="17"/>
  <c r="L71" i="17"/>
  <c r="L149" i="17"/>
  <c r="K71" i="17"/>
  <c r="K149" i="17"/>
  <c r="U71" i="17"/>
  <c r="U149" i="17" s="1"/>
  <c r="AC71" i="17"/>
  <c r="AC149" i="17"/>
  <c r="AF71" i="17"/>
  <c r="AF149" i="17"/>
  <c r="Y71" i="17"/>
  <c r="Y149" i="17"/>
  <c r="AD71" i="17"/>
  <c r="AD149" i="17" s="1"/>
  <c r="AE71" i="17"/>
  <c r="AE149" i="17"/>
  <c r="Z71" i="17"/>
  <c r="Z149" i="17"/>
  <c r="AA71" i="17"/>
  <c r="AA149" i="17"/>
  <c r="AB71" i="17"/>
  <c r="AB149" i="17" s="1"/>
  <c r="AG71" i="17"/>
  <c r="AG149" i="17"/>
  <c r="AI71" i="17"/>
  <c r="AI149" i="17"/>
  <c r="J71" i="17"/>
  <c r="J149" i="17"/>
  <c r="S71" i="17"/>
  <c r="S149" i="17" s="1"/>
  <c r="R71" i="17"/>
  <c r="R149" i="17"/>
  <c r="AF58" i="10"/>
  <c r="AG13" i="8"/>
  <c r="AG58" i="10"/>
  <c r="AH58" i="10"/>
  <c r="AI58" i="10"/>
  <c r="AI12" i="10"/>
  <c r="D152" i="17"/>
  <c r="AJ152" i="17"/>
  <c r="B11" i="17"/>
  <c r="B27" i="17"/>
  <c r="D365" i="16"/>
  <c r="AJ365" i="16"/>
  <c r="B313" i="16"/>
  <c r="B311" i="16"/>
  <c r="B309" i="16"/>
  <c r="B307" i="16"/>
  <c r="B305" i="16"/>
  <c r="B303" i="16"/>
  <c r="B301" i="16"/>
  <c r="B299" i="16"/>
  <c r="B297" i="16"/>
  <c r="B295" i="16"/>
  <c r="B293" i="16"/>
  <c r="B291" i="16"/>
  <c r="B242" i="16"/>
  <c r="B258" i="16"/>
  <c r="B240" i="16"/>
  <c r="B238" i="16"/>
  <c r="B236" i="16"/>
  <c r="B234" i="16"/>
  <c r="B232" i="16"/>
  <c r="B230" i="16"/>
  <c r="B228" i="16"/>
  <c r="B226" i="16"/>
  <c r="B224" i="16"/>
  <c r="B222" i="16"/>
  <c r="B220" i="16"/>
  <c r="B161" i="16"/>
  <c r="B86" i="16"/>
  <c r="B29" i="16"/>
  <c r="B47" i="16"/>
  <c r="B27" i="16"/>
  <c r="B25" i="16"/>
  <c r="B23" i="16"/>
  <c r="B21" i="16"/>
  <c r="B19" i="16"/>
  <c r="B17" i="16"/>
  <c r="B15" i="16"/>
  <c r="B13" i="16"/>
  <c r="B11" i="16"/>
  <c r="B9" i="16"/>
  <c r="B7" i="16"/>
  <c r="A113" i="16"/>
  <c r="A121" i="16"/>
  <c r="A308" i="16"/>
  <c r="A292" i="16"/>
  <c r="A291" i="16"/>
  <c r="A267" i="16"/>
  <c r="A152" i="16"/>
  <c r="A162" i="16"/>
  <c r="A161" i="16"/>
  <c r="A200" i="16"/>
  <c r="A194" i="16"/>
  <c r="D271" i="16"/>
  <c r="AD284" i="16"/>
  <c r="AD362" i="16"/>
  <c r="A209" i="16"/>
  <c r="A89" i="16"/>
  <c r="A88" i="16"/>
  <c r="A235" i="16"/>
  <c r="A234" i="16"/>
  <c r="A298" i="16"/>
  <c r="A314" i="16"/>
  <c r="A346" i="16"/>
  <c r="A105" i="16"/>
  <c r="A104" i="16"/>
  <c r="A250" i="16"/>
  <c r="A169" i="16"/>
  <c r="A185" i="16"/>
  <c r="A226" i="16"/>
  <c r="A242" i="16"/>
  <c r="A258" i="16"/>
  <c r="A299" i="16"/>
  <c r="A331" i="16"/>
  <c r="A347" i="16"/>
  <c r="P12" i="10"/>
  <c r="Y12" i="10"/>
  <c r="O54" i="10"/>
  <c r="X26" i="10"/>
  <c r="C82" i="16"/>
  <c r="C78" i="16"/>
  <c r="Q33" i="29"/>
  <c r="I33" i="29"/>
  <c r="P33" i="29"/>
  <c r="B37" i="16"/>
  <c r="B33" i="16"/>
  <c r="B43" i="16"/>
  <c r="B51" i="16"/>
  <c r="B45" i="16"/>
  <c r="A115" i="16"/>
  <c r="A114" i="16"/>
  <c r="A159" i="16"/>
  <c r="A160" i="16"/>
  <c r="A175" i="16"/>
  <c r="A176" i="16"/>
  <c r="B49" i="16"/>
  <c r="B35" i="16"/>
  <c r="B53" i="16"/>
  <c r="B55" i="16" s="1"/>
  <c r="B59" i="16"/>
  <c r="A334" i="16"/>
  <c r="A333" i="16"/>
  <c r="A261" i="16"/>
  <c r="A260" i="16"/>
  <c r="A335" i="16"/>
  <c r="A116" i="16"/>
  <c r="A196" i="16"/>
  <c r="A302" i="16"/>
  <c r="D223" i="16"/>
  <c r="A91" i="16"/>
  <c r="A304" i="16"/>
  <c r="A135" i="16"/>
  <c r="A207" i="16"/>
  <c r="C15" i="16"/>
  <c r="I15" i="16" s="1"/>
  <c r="I16" i="16" s="1"/>
  <c r="A87" i="16"/>
  <c r="A106" i="16"/>
  <c r="A163" i="16"/>
  <c r="A181" i="16"/>
  <c r="A222" i="16"/>
  <c r="A228" i="16"/>
  <c r="A246" i="16"/>
  <c r="A278" i="16"/>
  <c r="C7" i="16"/>
  <c r="C17" i="16"/>
  <c r="J17" i="16"/>
  <c r="J18" i="16" s="1"/>
  <c r="C33" i="16"/>
  <c r="R33" i="16"/>
  <c r="R33" i="29"/>
  <c r="F33" i="29"/>
  <c r="O33" i="29"/>
  <c r="E33" i="29"/>
  <c r="N33" i="29"/>
  <c r="D33" i="29"/>
  <c r="M33" i="29"/>
  <c r="C33" i="29"/>
  <c r="V33" i="29"/>
  <c r="L33" i="29"/>
  <c r="H33" i="29"/>
  <c r="T33" i="29"/>
  <c r="J33" i="29"/>
  <c r="S33" i="29"/>
  <c r="M34" i="8"/>
  <c r="F34" i="8"/>
  <c r="I33" i="8"/>
  <c r="A294" i="16"/>
  <c r="A293" i="16"/>
  <c r="A340" i="16"/>
  <c r="A339" i="16"/>
  <c r="A310" i="16"/>
  <c r="A309" i="16"/>
  <c r="A329" i="16"/>
  <c r="A330" i="16"/>
  <c r="A192" i="16"/>
  <c r="A191" i="16"/>
  <c r="A167" i="16"/>
  <c r="B244" i="16"/>
  <c r="A255" i="16"/>
  <c r="A254" i="16"/>
  <c r="B264" i="16"/>
  <c r="C94" i="16"/>
  <c r="M94" i="16" s="1"/>
  <c r="M95" i="16" s="1"/>
  <c r="C114" i="16"/>
  <c r="W114" i="16"/>
  <c r="W115" i="16" s="1"/>
  <c r="C100" i="16"/>
  <c r="C108" i="16"/>
  <c r="T108" i="16"/>
  <c r="T109" i="16" s="1"/>
  <c r="C124" i="16"/>
  <c r="AB124" i="16"/>
  <c r="AB125" i="16"/>
  <c r="C92" i="16"/>
  <c r="L92" i="16" s="1"/>
  <c r="L93" i="16" s="1"/>
  <c r="M92" i="16"/>
  <c r="C116" i="16"/>
  <c r="C130" i="16"/>
  <c r="AE130" i="16"/>
  <c r="AE131" i="16"/>
  <c r="C136" i="16"/>
  <c r="AH136" i="16" s="1"/>
  <c r="AH137" i="16" s="1"/>
  <c r="L7" i="44"/>
  <c r="M7" i="44" s="1"/>
  <c r="A78" i="16"/>
  <c r="A271" i="16"/>
  <c r="A270" i="16"/>
  <c r="A225" i="16"/>
  <c r="A245" i="16"/>
  <c r="A306" i="16"/>
  <c r="N29" i="44"/>
  <c r="P29" i="44"/>
  <c r="G85" i="43"/>
  <c r="G167" i="43"/>
  <c r="A239" i="16"/>
  <c r="A252" i="16"/>
  <c r="A350" i="16"/>
  <c r="G271" i="43"/>
  <c r="G253" i="43"/>
  <c r="G230" i="43"/>
  <c r="G207" i="43"/>
  <c r="G189" i="43"/>
  <c r="G166" i="43"/>
  <c r="G143" i="43"/>
  <c r="G125" i="43"/>
  <c r="G102" i="43"/>
  <c r="G79" i="43"/>
  <c r="G61" i="43"/>
  <c r="G38" i="43"/>
  <c r="G270" i="43"/>
  <c r="G247" i="43"/>
  <c r="G229" i="43"/>
  <c r="G206" i="43"/>
  <c r="G183" i="43"/>
  <c r="G165" i="43"/>
  <c r="G142" i="43"/>
  <c r="G119" i="43"/>
  <c r="G101" i="43"/>
  <c r="G78" i="43"/>
  <c r="G55" i="43"/>
  <c r="G37" i="43"/>
  <c r="G269" i="43"/>
  <c r="G246" i="43"/>
  <c r="G223" i="43"/>
  <c r="G205" i="43"/>
  <c r="G182" i="43"/>
  <c r="G159" i="43"/>
  <c r="G141" i="43"/>
  <c r="G118" i="43"/>
  <c r="G95" i="43"/>
  <c r="G77" i="43"/>
  <c r="G54" i="43"/>
  <c r="G31" i="43"/>
  <c r="G263" i="43"/>
  <c r="G245" i="43"/>
  <c r="G222" i="43"/>
  <c r="G199" i="43"/>
  <c r="G181" i="43"/>
  <c r="G158" i="43"/>
  <c r="G135" i="43"/>
  <c r="G117" i="43"/>
  <c r="G94" i="43"/>
  <c r="G71" i="43"/>
  <c r="G53" i="43"/>
  <c r="G30" i="43"/>
  <c r="G262" i="43"/>
  <c r="G239" i="43"/>
  <c r="G221" i="43"/>
  <c r="G198" i="43"/>
  <c r="G175" i="43"/>
  <c r="G157" i="43"/>
  <c r="G134" i="43"/>
  <c r="G111" i="43"/>
  <c r="G93" i="43"/>
  <c r="G70" i="43"/>
  <c r="G47" i="43"/>
  <c r="G29" i="43"/>
  <c r="G261" i="43"/>
  <c r="G238" i="43"/>
  <c r="G215" i="43"/>
  <c r="G197" i="43"/>
  <c r="G174" i="43"/>
  <c r="G151" i="43"/>
  <c r="G133" i="43"/>
  <c r="G110" i="43"/>
  <c r="G87" i="43"/>
  <c r="G69" i="43"/>
  <c r="G46" i="43"/>
  <c r="G22" i="43"/>
  <c r="G86" i="43"/>
  <c r="G173" i="43"/>
  <c r="G255" i="43"/>
  <c r="G24" i="43"/>
  <c r="G103" i="43"/>
  <c r="G190" i="43"/>
  <c r="G23" i="43"/>
  <c r="G109" i="43"/>
  <c r="G191" i="43"/>
  <c r="G39" i="43"/>
  <c r="G126" i="43"/>
  <c r="G213" i="43"/>
  <c r="G45" i="43"/>
  <c r="G127" i="43"/>
  <c r="G214" i="43"/>
  <c r="G268" i="43"/>
  <c r="G21" i="43"/>
  <c r="G32" i="43"/>
  <c r="G40" i="43"/>
  <c r="G48" i="43"/>
  <c r="G56" i="43"/>
  <c r="G64" i="43"/>
  <c r="G72" i="43"/>
  <c r="G80" i="43"/>
  <c r="G88" i="43"/>
  <c r="G96" i="43"/>
  <c r="G104" i="43"/>
  <c r="G112" i="43"/>
  <c r="G120" i="43"/>
  <c r="G128" i="43"/>
  <c r="G136" i="43"/>
  <c r="G144" i="43"/>
  <c r="G152" i="43"/>
  <c r="G160" i="43"/>
  <c r="G168" i="43"/>
  <c r="G176" i="43"/>
  <c r="G184" i="43"/>
  <c r="G192" i="43"/>
  <c r="G200" i="43"/>
  <c r="G208" i="43"/>
  <c r="G216" i="43"/>
  <c r="G224" i="43"/>
  <c r="G232" i="43"/>
  <c r="G240" i="43"/>
  <c r="G248" i="43"/>
  <c r="G256" i="43"/>
  <c r="G264" i="43"/>
  <c r="G272" i="43"/>
  <c r="G25" i="43"/>
  <c r="G33" i="43"/>
  <c r="G41" i="43"/>
  <c r="G49" i="43"/>
  <c r="G57" i="43"/>
  <c r="G65" i="43"/>
  <c r="G73" i="43"/>
  <c r="G81" i="43"/>
  <c r="G89" i="43"/>
  <c r="G97" i="43"/>
  <c r="G105" i="43"/>
  <c r="G113" i="43"/>
  <c r="G121" i="43"/>
  <c r="G129" i="43"/>
  <c r="G137" i="43"/>
  <c r="G145" i="43"/>
  <c r="G153" i="43"/>
  <c r="G161" i="43"/>
  <c r="G169" i="43"/>
  <c r="G177" i="43"/>
  <c r="G185" i="43"/>
  <c r="G193" i="43"/>
  <c r="G201" i="43"/>
  <c r="G209" i="43"/>
  <c r="G217" i="43"/>
  <c r="G225" i="43"/>
  <c r="G233" i="43"/>
  <c r="G241" i="43"/>
  <c r="G249" i="43"/>
  <c r="G257" i="43"/>
  <c r="G265" i="43"/>
  <c r="G273" i="43"/>
  <c r="G26" i="43"/>
  <c r="G34" i="43"/>
  <c r="G42" i="43"/>
  <c r="G50" i="43"/>
  <c r="G58" i="43"/>
  <c r="G66" i="43"/>
  <c r="G74" i="43"/>
  <c r="G82" i="43"/>
  <c r="G90" i="43"/>
  <c r="G98" i="43"/>
  <c r="G106" i="43"/>
  <c r="G114" i="43"/>
  <c r="G122" i="43"/>
  <c r="G130" i="43"/>
  <c r="G138" i="43"/>
  <c r="G146" i="43"/>
  <c r="G154" i="43"/>
  <c r="G162" i="43"/>
  <c r="G170" i="43"/>
  <c r="G178" i="43"/>
  <c r="G186" i="43"/>
  <c r="G194" i="43"/>
  <c r="G202" i="43"/>
  <c r="G210" i="43"/>
  <c r="G218" i="43"/>
  <c r="G226" i="43"/>
  <c r="G234" i="43"/>
  <c r="G242" i="43"/>
  <c r="G250" i="43"/>
  <c r="G258" i="43"/>
  <c r="G266" i="43"/>
  <c r="G274" i="43"/>
  <c r="G19" i="43"/>
  <c r="G27" i="43"/>
  <c r="G35" i="43"/>
  <c r="G51" i="43"/>
  <c r="G59" i="43"/>
  <c r="G67" i="43"/>
  <c r="G75" i="43"/>
  <c r="G83" i="43"/>
  <c r="G91" i="43"/>
  <c r="G99" i="43"/>
  <c r="G107" i="43"/>
  <c r="G115" i="43"/>
  <c r="G123" i="43"/>
  <c r="G131" i="43"/>
  <c r="G139" i="43"/>
  <c r="G147" i="43"/>
  <c r="G155" i="43"/>
  <c r="G163" i="43"/>
  <c r="G171" i="43"/>
  <c r="G179" i="43"/>
  <c r="G187" i="43"/>
  <c r="G195" i="43"/>
  <c r="G203" i="43"/>
  <c r="G211" i="43"/>
  <c r="G219" i="43"/>
  <c r="G227" i="43"/>
  <c r="G235" i="43"/>
  <c r="G243" i="43"/>
  <c r="G251" i="43"/>
  <c r="G259" i="43"/>
  <c r="G267" i="43"/>
  <c r="G275" i="43"/>
  <c r="G20" i="43"/>
  <c r="G28" i="43"/>
  <c r="G36" i="43"/>
  <c r="G44" i="43"/>
  <c r="G52" i="43"/>
  <c r="G60" i="43"/>
  <c r="G68" i="43"/>
  <c r="G76" i="43"/>
  <c r="G84" i="43"/>
  <c r="G92" i="43"/>
  <c r="G100" i="43"/>
  <c r="G108" i="43"/>
  <c r="G116" i="43"/>
  <c r="G124" i="43"/>
  <c r="G132" i="43"/>
  <c r="G140" i="43"/>
  <c r="G148" i="43"/>
  <c r="G156" i="43"/>
  <c r="G164" i="43"/>
  <c r="G172" i="43"/>
  <c r="G180" i="43"/>
  <c r="G188" i="43"/>
  <c r="G196" i="43"/>
  <c r="G204" i="43"/>
  <c r="G212" i="43"/>
  <c r="G220" i="43"/>
  <c r="G228" i="43"/>
  <c r="G236" i="43"/>
  <c r="G244" i="43"/>
  <c r="G252" i="43"/>
  <c r="G260" i="43"/>
  <c r="G29" i="10"/>
  <c r="H29" i="10"/>
  <c r="I29" i="10"/>
  <c r="J29" i="10" s="1"/>
  <c r="K29" i="10" s="1"/>
  <c r="L29" i="10" s="1"/>
  <c r="M29" i="10" s="1"/>
  <c r="N29" i="10" s="1"/>
  <c r="O29" i="10" s="1"/>
  <c r="P29" i="10" s="1"/>
  <c r="Q29" i="10" s="1"/>
  <c r="L25" i="7"/>
  <c r="L28" i="8" s="1"/>
  <c r="M37" i="8"/>
  <c r="P26" i="10"/>
  <c r="Q26" i="10"/>
  <c r="R26" i="10"/>
  <c r="M26" i="10"/>
  <c r="S26" i="10"/>
  <c r="N26" i="10"/>
  <c r="AD26" i="10"/>
  <c r="AC26" i="10"/>
  <c r="T26" i="10"/>
  <c r="V26" i="10"/>
  <c r="AE26" i="10"/>
  <c r="Y26" i="10"/>
  <c r="T355" i="16"/>
  <c r="D322" i="16"/>
  <c r="D8" i="17"/>
  <c r="E71" i="17"/>
  <c r="E72" i="17" s="1"/>
  <c r="C47" i="16"/>
  <c r="Y47" i="16"/>
  <c r="Y48" i="16"/>
  <c r="C43" i="16"/>
  <c r="W54" i="10"/>
  <c r="AH26" i="10"/>
  <c r="AG26" i="10"/>
  <c r="AB26" i="10"/>
  <c r="O26" i="10"/>
  <c r="Z355" i="16"/>
  <c r="D334" i="16"/>
  <c r="E5" i="16"/>
  <c r="E6" i="16"/>
  <c r="F5" i="16"/>
  <c r="C9" i="16"/>
  <c r="C21" i="16"/>
  <c r="C27" i="16"/>
  <c r="O27" i="16" s="1"/>
  <c r="O28" i="16" s="1"/>
  <c r="C31" i="16"/>
  <c r="Q31" i="16"/>
  <c r="Q32" i="16" s="1"/>
  <c r="C59" i="16"/>
  <c r="C11" i="16"/>
  <c r="G11" i="16" s="1"/>
  <c r="G12" i="16" s="1"/>
  <c r="C23" i="16"/>
  <c r="M23" i="16" s="1"/>
  <c r="M24" i="16"/>
  <c r="C35" i="16"/>
  <c r="C37" i="16"/>
  <c r="C45" i="16"/>
  <c r="X45" i="16" s="1"/>
  <c r="X46" i="16" s="1"/>
  <c r="C57" i="16"/>
  <c r="AD57" i="16" s="1"/>
  <c r="AD58" i="16"/>
  <c r="C63" i="16"/>
  <c r="AG63" i="16" s="1"/>
  <c r="AG64" i="16" s="1"/>
  <c r="C65" i="16"/>
  <c r="C25" i="16"/>
  <c r="C39" i="16"/>
  <c r="C49" i="16"/>
  <c r="Z49" i="16"/>
  <c r="Z50" i="16"/>
  <c r="C51" i="16"/>
  <c r="AA51" i="16" s="1"/>
  <c r="C53" i="16"/>
  <c r="AB53" i="16"/>
  <c r="AB54" i="16" s="1"/>
  <c r="AC53" i="16" s="1"/>
  <c r="C61" i="16"/>
  <c r="A137" i="16"/>
  <c r="A136" i="16"/>
  <c r="A315" i="16"/>
  <c r="A316" i="16"/>
  <c r="A129" i="16"/>
  <c r="A128" i="16"/>
  <c r="AH65" i="17"/>
  <c r="A118" i="16"/>
  <c r="G1" i="10"/>
  <c r="H1" i="10" s="1"/>
  <c r="I1" i="10" s="1"/>
  <c r="A109" i="16"/>
  <c r="A108" i="16"/>
  <c r="A231" i="16"/>
  <c r="A230" i="16"/>
  <c r="A323" i="16"/>
  <c r="A324" i="16"/>
  <c r="A99" i="16"/>
  <c r="A98" i="16"/>
  <c r="B254" i="16"/>
  <c r="C55" i="16"/>
  <c r="AC55" i="16"/>
  <c r="AC56" i="16" s="1"/>
  <c r="B256" i="16"/>
  <c r="AF26" i="10"/>
  <c r="C41" i="16"/>
  <c r="V41" i="16" s="1"/>
  <c r="V42" i="16" s="1"/>
  <c r="C29" i="16"/>
  <c r="P29" i="16"/>
  <c r="P30" i="16" s="1"/>
  <c r="A325" i="16"/>
  <c r="AA26" i="10"/>
  <c r="B246" i="16"/>
  <c r="B252" i="16"/>
  <c r="W26" i="10"/>
  <c r="B262" i="16"/>
  <c r="B250" i="16"/>
  <c r="AI26" i="10"/>
  <c r="A311" i="16"/>
  <c r="A328" i="16"/>
  <c r="C19" i="16"/>
  <c r="K19" i="16" s="1"/>
  <c r="K20" i="16" s="1"/>
  <c r="Z26" i="10"/>
  <c r="A220" i="16"/>
  <c r="C13" i="16"/>
  <c r="G63" i="43"/>
  <c r="I57" i="43"/>
  <c r="J57" i="43" s="1"/>
  <c r="K57" i="43" s="1"/>
  <c r="T34" i="8"/>
  <c r="I78" i="43"/>
  <c r="J78" i="43" s="1"/>
  <c r="I275" i="43"/>
  <c r="J275" i="43" s="1"/>
  <c r="I271" i="43"/>
  <c r="J271" i="43" s="1"/>
  <c r="I235" i="43"/>
  <c r="J235" i="43" s="1"/>
  <c r="K235" i="43" s="1"/>
  <c r="I233" i="43"/>
  <c r="J233" i="43" s="1"/>
  <c r="K233" i="43" s="1"/>
  <c r="I181" i="43"/>
  <c r="J181" i="43" s="1"/>
  <c r="K181" i="43" s="1"/>
  <c r="I143" i="43"/>
  <c r="J143" i="43" s="1"/>
  <c r="K143" i="43" s="1"/>
  <c r="I259" i="43"/>
  <c r="J259" i="43" s="1"/>
  <c r="K259" i="43" s="1"/>
  <c r="I237" i="43"/>
  <c r="J237" i="43" s="1"/>
  <c r="I195" i="43"/>
  <c r="J195" i="43" s="1"/>
  <c r="I272" i="43"/>
  <c r="J272" i="43" s="1"/>
  <c r="I214" i="43"/>
  <c r="J214" i="43" s="1"/>
  <c r="I202" i="43"/>
  <c r="J202" i="43" s="1"/>
  <c r="I168" i="43"/>
  <c r="J168" i="43" s="1"/>
  <c r="I148" i="43"/>
  <c r="J148" i="43" s="1"/>
  <c r="K148" i="43" s="1"/>
  <c r="I255" i="43"/>
  <c r="J255" i="43" s="1"/>
  <c r="I249" i="43"/>
  <c r="J249" i="43" s="1"/>
  <c r="K249" i="43" s="1"/>
  <c r="I270" i="43"/>
  <c r="J270" i="43" s="1"/>
  <c r="I240" i="43"/>
  <c r="J240" i="43" s="1"/>
  <c r="I166" i="43"/>
  <c r="J166" i="43" s="1"/>
  <c r="I160" i="43"/>
  <c r="J160" i="43" s="1"/>
  <c r="I119" i="43"/>
  <c r="J119" i="43" s="1"/>
  <c r="I102" i="43"/>
  <c r="I47" i="43"/>
  <c r="J47" i="43" s="1"/>
  <c r="K47" i="43" s="1"/>
  <c r="I41" i="43"/>
  <c r="J41" i="43" s="1"/>
  <c r="I208" i="43"/>
  <c r="J208" i="43" s="1"/>
  <c r="K208" i="43" s="1"/>
  <c r="I198" i="43"/>
  <c r="J198" i="43" s="1"/>
  <c r="K198" i="43" s="1"/>
  <c r="I266" i="43"/>
  <c r="J266" i="43" s="1"/>
  <c r="K266" i="43" s="1"/>
  <c r="I260" i="43"/>
  <c r="J260" i="43" s="1"/>
  <c r="I189" i="43"/>
  <c r="J189" i="43" s="1"/>
  <c r="I177" i="43"/>
  <c r="J177" i="43" s="1"/>
  <c r="I116" i="43"/>
  <c r="J116" i="43" s="1"/>
  <c r="I128" i="43"/>
  <c r="J128" i="43" s="1"/>
  <c r="I101" i="43"/>
  <c r="J101" i="43" s="1"/>
  <c r="K101" i="43" s="1"/>
  <c r="I45" i="43"/>
  <c r="J45" i="43" s="1"/>
  <c r="K45" i="43" s="1"/>
  <c r="I19" i="43"/>
  <c r="I192" i="43"/>
  <c r="J192" i="43" s="1"/>
  <c r="K192" i="43" s="1"/>
  <c r="I142" i="43"/>
  <c r="J142" i="43" s="1"/>
  <c r="I38" i="43"/>
  <c r="J38" i="43" s="1"/>
  <c r="I220" i="43"/>
  <c r="J220" i="43" s="1"/>
  <c r="K220" i="43" s="1"/>
  <c r="I174" i="43"/>
  <c r="J174" i="43" s="1"/>
  <c r="I115" i="43"/>
  <c r="J115" i="43" s="1"/>
  <c r="K115" i="43" s="1"/>
  <c r="I66" i="43"/>
  <c r="J66" i="43" s="1"/>
  <c r="I44" i="43"/>
  <c r="J44" i="43" s="1"/>
  <c r="K44" i="43" s="1"/>
  <c r="I204" i="43"/>
  <c r="J204" i="43" s="1"/>
  <c r="I165" i="43"/>
  <c r="J165" i="43" s="1"/>
  <c r="K165" i="43" s="1"/>
  <c r="I87" i="43"/>
  <c r="I62" i="43"/>
  <c r="J62" i="43" s="1"/>
  <c r="I23" i="43"/>
  <c r="J23" i="43" s="1"/>
  <c r="I219" i="43"/>
  <c r="J219" i="43" s="1"/>
  <c r="I124" i="43"/>
  <c r="J124" i="43" s="1"/>
  <c r="I111" i="43"/>
  <c r="J111" i="43" s="1"/>
  <c r="I32" i="43"/>
  <c r="J32" i="43" s="1"/>
  <c r="K32" i="43" s="1"/>
  <c r="I24" i="43"/>
  <c r="J24" i="43" s="1"/>
  <c r="K24" i="43" s="1"/>
  <c r="G149" i="43"/>
  <c r="G254" i="43"/>
  <c r="G62" i="43"/>
  <c r="I22" i="43"/>
  <c r="J22" i="43" s="1"/>
  <c r="I117" i="43"/>
  <c r="J117" i="43" s="1"/>
  <c r="K117" i="43" s="1"/>
  <c r="G237" i="43"/>
  <c r="I146" i="43"/>
  <c r="J146" i="43" s="1"/>
  <c r="K146" i="43" s="1"/>
  <c r="I157" i="43"/>
  <c r="J157" i="43" s="1"/>
  <c r="J87" i="43"/>
  <c r="R29" i="10"/>
  <c r="S29" i="10" s="1"/>
  <c r="T29" i="10" s="1"/>
  <c r="U29" i="10" s="1"/>
  <c r="V29" i="10" s="1"/>
  <c r="W29" i="10" s="1"/>
  <c r="J1" i="10"/>
  <c r="K1" i="10" s="1"/>
  <c r="L1" i="10" s="1"/>
  <c r="M1" i="10" s="1"/>
  <c r="N1" i="10"/>
  <c r="P34" i="8"/>
  <c r="H34" i="8"/>
  <c r="AE33" i="8"/>
  <c r="AB34" i="8"/>
  <c r="U34" i="8"/>
  <c r="J34" i="8"/>
  <c r="Z34" i="8"/>
  <c r="I34" i="8"/>
  <c r="B33" i="7"/>
  <c r="B41" i="7" s="1"/>
  <c r="B43" i="7" s="1"/>
  <c r="W34" i="8"/>
  <c r="V34" i="8"/>
  <c r="O34" i="8"/>
  <c r="M33" i="8"/>
  <c r="Y33" i="8"/>
  <c r="F33" i="8"/>
  <c r="AF33" i="8"/>
  <c r="G33" i="8"/>
  <c r="U33" i="8"/>
  <c r="AE34" i="8"/>
  <c r="X34" i="8"/>
  <c r="AF34" i="8"/>
  <c r="J33" i="8"/>
  <c r="AA34" i="8"/>
  <c r="P33" i="8"/>
  <c r="C266" i="16"/>
  <c r="C274" i="16"/>
  <c r="C191" i="16"/>
  <c r="X116" i="16"/>
  <c r="X117" i="16" s="1"/>
  <c r="C268" i="16"/>
  <c r="C248" i="16"/>
  <c r="C132" i="16"/>
  <c r="AF132" i="16" s="1"/>
  <c r="AF133" i="16"/>
  <c r="C86" i="16"/>
  <c r="C128" i="16"/>
  <c r="AD128" i="16" s="1"/>
  <c r="AD129" i="16"/>
  <c r="C90" i="16"/>
  <c r="K90" i="16" s="1"/>
  <c r="K91" i="16" s="1"/>
  <c r="C118" i="16"/>
  <c r="C106" i="16"/>
  <c r="C134" i="16"/>
  <c r="C84" i="16"/>
  <c r="C80" i="16"/>
  <c r="C112" i="16"/>
  <c r="V112" i="16"/>
  <c r="V113" i="16"/>
  <c r="C102" i="16"/>
  <c r="Q102" i="16" s="1"/>
  <c r="Q103" i="16" s="1"/>
  <c r="C96" i="16"/>
  <c r="N96" i="16" s="1"/>
  <c r="N97" i="16" s="1"/>
  <c r="C120" i="16"/>
  <c r="Z120" i="16" s="1"/>
  <c r="Z121" i="16" s="1"/>
  <c r="E76" i="16"/>
  <c r="E77" i="16"/>
  <c r="C88" i="16"/>
  <c r="C138" i="16"/>
  <c r="AI138" i="16" s="1"/>
  <c r="AI139" i="16"/>
  <c r="C126" i="16"/>
  <c r="AC126" i="16" s="1"/>
  <c r="AC127" i="16" s="1"/>
  <c r="C98" i="16"/>
  <c r="O98" i="16"/>
  <c r="O99" i="16" s="1"/>
  <c r="C104" i="16"/>
  <c r="R104" i="16"/>
  <c r="R105" i="16" s="1"/>
  <c r="C122" i="16"/>
  <c r="AA122" i="16" s="1"/>
  <c r="AA123" i="16"/>
  <c r="AB122" i="16" s="1"/>
  <c r="C110" i="16"/>
  <c r="P100" i="16"/>
  <c r="P101" i="16" s="1"/>
  <c r="Q100" i="16"/>
  <c r="G99" i="46"/>
  <c r="G30" i="46"/>
  <c r="G130" i="46"/>
  <c r="G272" i="46"/>
  <c r="G211" i="46"/>
  <c r="G163" i="46"/>
  <c r="G186" i="46"/>
  <c r="G36" i="46"/>
  <c r="G199" i="46"/>
  <c r="G242" i="46"/>
  <c r="G239" i="46"/>
  <c r="G259" i="46"/>
  <c r="G189" i="46"/>
  <c r="G90" i="46"/>
  <c r="G60" i="46"/>
  <c r="G127" i="46"/>
  <c r="G245" i="46"/>
  <c r="G209" i="46"/>
  <c r="G171" i="46"/>
  <c r="G23" i="46"/>
  <c r="G78" i="46"/>
  <c r="G103" i="46"/>
  <c r="G180" i="46"/>
  <c r="G164" i="46"/>
  <c r="G266" i="46"/>
  <c r="G202" i="46"/>
  <c r="G225" i="46"/>
  <c r="G244" i="46"/>
  <c r="G193" i="46"/>
  <c r="G236" i="46"/>
  <c r="G231" i="46"/>
  <c r="G143" i="46"/>
  <c r="G104" i="46"/>
  <c r="G53" i="46"/>
  <c r="G37" i="46"/>
  <c r="G148" i="46"/>
  <c r="G106" i="46"/>
  <c r="G144" i="46"/>
  <c r="G68" i="46"/>
  <c r="G26" i="46"/>
  <c r="G95" i="46"/>
  <c r="G66" i="46"/>
  <c r="G185" i="46"/>
  <c r="G169" i="46"/>
  <c r="G153" i="46"/>
  <c r="G243" i="46"/>
  <c r="G264" i="46"/>
  <c r="G207" i="46"/>
  <c r="G235" i="46"/>
  <c r="G196" i="46"/>
  <c r="G213" i="46"/>
  <c r="G126" i="46"/>
  <c r="G122" i="46"/>
  <c r="G58" i="46"/>
  <c r="G42" i="46"/>
  <c r="G34" i="46"/>
  <c r="G114" i="46"/>
  <c r="G222" i="46"/>
  <c r="G84" i="46"/>
  <c r="G76" i="46"/>
  <c r="G19" i="46"/>
  <c r="G27" i="46"/>
  <c r="G109" i="46"/>
  <c r="G275" i="46"/>
  <c r="G176" i="46"/>
  <c r="G168" i="46"/>
  <c r="G160" i="46"/>
  <c r="G234" i="46"/>
  <c r="G262" i="46"/>
  <c r="G212" i="46"/>
  <c r="G226" i="46"/>
  <c r="G249" i="46"/>
  <c r="G204" i="46"/>
  <c r="G247" i="46"/>
  <c r="G72" i="46"/>
  <c r="G57" i="46"/>
  <c r="G49" i="46"/>
  <c r="G33" i="46"/>
  <c r="G74" i="46"/>
  <c r="G108" i="46"/>
  <c r="G128" i="46"/>
  <c r="G20" i="46"/>
  <c r="G71" i="46"/>
  <c r="G183" i="46"/>
  <c r="G167" i="46"/>
  <c r="G159" i="46"/>
  <c r="G151" i="46"/>
  <c r="G248" i="46"/>
  <c r="G269" i="46"/>
  <c r="G219" i="46"/>
  <c r="G240" i="46"/>
  <c r="G261" i="46"/>
  <c r="G254" i="46"/>
  <c r="G139" i="46"/>
  <c r="G56" i="46"/>
  <c r="G48" i="46"/>
  <c r="G40" i="46"/>
  <c r="G140" i="46"/>
  <c r="G121" i="46"/>
  <c r="G65" i="46"/>
  <c r="G91" i="46"/>
  <c r="G69" i="46"/>
  <c r="G21" i="46"/>
  <c r="G79" i="46"/>
  <c r="G94" i="46"/>
  <c r="G190" i="46"/>
  <c r="G182" i="46"/>
  <c r="G166" i="46"/>
  <c r="G150" i="46"/>
  <c r="G241" i="46"/>
  <c r="G246" i="46"/>
  <c r="G260" i="46"/>
  <c r="G210" i="46"/>
  <c r="G252" i="46"/>
  <c r="G200" i="46"/>
  <c r="G263" i="46"/>
  <c r="G120" i="46"/>
  <c r="G55" i="46"/>
  <c r="G39" i="46"/>
  <c r="G137" i="46"/>
  <c r="G129" i="46"/>
  <c r="G100" i="46"/>
  <c r="G70" i="46"/>
  <c r="M10" i="44"/>
  <c r="P10" i="44" s="1"/>
  <c r="N10" i="44"/>
  <c r="M12" i="44"/>
  <c r="N12" i="44"/>
  <c r="K4" i="39"/>
  <c r="I4" i="39"/>
  <c r="I7" i="39" s="1"/>
  <c r="H4" i="39"/>
  <c r="H7" i="39"/>
  <c r="N15" i="44"/>
  <c r="O15" i="44"/>
  <c r="O11" i="44"/>
  <c r="N11" i="44"/>
  <c r="P11" i="44" s="1"/>
  <c r="O10" i="44"/>
  <c r="N7" i="44"/>
  <c r="O7" i="44"/>
  <c r="O9" i="44"/>
  <c r="N9" i="44"/>
  <c r="P9" i="44" s="1"/>
  <c r="O23" i="44"/>
  <c r="N23" i="44"/>
  <c r="P23" i="44" s="1"/>
  <c r="N13" i="44"/>
  <c r="P13" i="44" s="1"/>
  <c r="O13" i="44"/>
  <c r="N8" i="44"/>
  <c r="P8" i="44"/>
  <c r="O14" i="44"/>
  <c r="P14" i="44" s="1"/>
  <c r="D332" i="16"/>
  <c r="O12" i="44"/>
  <c r="L4" i="39"/>
  <c r="D324" i="16"/>
  <c r="L21" i="16"/>
  <c r="L22" i="16" s="1"/>
  <c r="E24" i="2"/>
  <c r="C10" i="8" s="1"/>
  <c r="D308" i="16"/>
  <c r="M355" i="16"/>
  <c r="D227" i="16"/>
  <c r="D228" i="16" s="1"/>
  <c r="H284" i="16"/>
  <c r="AG54" i="10"/>
  <c r="AA54" i="10"/>
  <c r="E65" i="9"/>
  <c r="F65" i="9" s="1"/>
  <c r="G65" i="9" s="1"/>
  <c r="H65" i="9" s="1"/>
  <c r="D348" i="16"/>
  <c r="AB355" i="16"/>
  <c r="D338" i="16"/>
  <c r="E34" i="8"/>
  <c r="R34" i="8"/>
  <c r="K34" i="8"/>
  <c r="K33" i="8"/>
  <c r="AD34" i="8"/>
  <c r="D33" i="8"/>
  <c r="G31" i="46"/>
  <c r="G215" i="46"/>
  <c r="G218" i="46"/>
  <c r="G113" i="46"/>
  <c r="G136" i="46"/>
  <c r="G64" i="46"/>
  <c r="G205" i="46"/>
  <c r="G175" i="46"/>
  <c r="G124" i="46"/>
  <c r="G206" i="46"/>
  <c r="G195" i="46"/>
  <c r="G184" i="46"/>
  <c r="G147" i="46"/>
  <c r="G50" i="46"/>
  <c r="G256" i="46"/>
  <c r="G161" i="46"/>
  <c r="G83" i="46"/>
  <c r="G45" i="46"/>
  <c r="G217" i="46"/>
  <c r="G156" i="46"/>
  <c r="G75" i="46"/>
  <c r="G38" i="46"/>
  <c r="G229" i="46"/>
  <c r="G214" i="46"/>
  <c r="G47" i="46"/>
  <c r="G233" i="46"/>
  <c r="G158" i="46"/>
  <c r="G29" i="46"/>
  <c r="G132" i="46"/>
  <c r="G270" i="46"/>
  <c r="G255" i="46"/>
  <c r="G191" i="46"/>
  <c r="G110" i="46"/>
  <c r="G118" i="46"/>
  <c r="G257" i="46"/>
  <c r="G89" i="46"/>
  <c r="G112" i="46"/>
  <c r="G80" i="46"/>
  <c r="G221" i="46"/>
  <c r="G177" i="46"/>
  <c r="G77" i="46"/>
  <c r="G61" i="46"/>
  <c r="G258" i="46"/>
  <c r="G172" i="46"/>
  <c r="G149" i="46"/>
  <c r="G25" i="46"/>
  <c r="G59" i="46"/>
  <c r="G238" i="46"/>
  <c r="G105" i="46"/>
  <c r="G133" i="46"/>
  <c r="G63" i="46"/>
  <c r="G198" i="46"/>
  <c r="G174" i="46"/>
  <c r="G87" i="46"/>
  <c r="G32" i="46"/>
  <c r="G194" i="46"/>
  <c r="G227" i="46"/>
  <c r="G28" i="46"/>
  <c r="G41" i="46"/>
  <c r="G268" i="46"/>
  <c r="G152" i="46"/>
  <c r="G67" i="46"/>
  <c r="G82" i="46"/>
  <c r="G119" i="46"/>
  <c r="G271" i="46"/>
  <c r="G274" i="46"/>
  <c r="G111" i="46"/>
  <c r="G146" i="46"/>
  <c r="G230" i="46"/>
  <c r="G188" i="46"/>
  <c r="G251" i="46"/>
  <c r="G170" i="46"/>
  <c r="G115" i="46"/>
  <c r="G52" i="46"/>
  <c r="G107" i="46"/>
  <c r="G154" i="46"/>
  <c r="I131" i="46"/>
  <c r="J131" i="46" s="1"/>
  <c r="G46" i="46"/>
  <c r="G267" i="46"/>
  <c r="G228" i="46"/>
  <c r="I51" i="46"/>
  <c r="G181" i="46"/>
  <c r="I269" i="46"/>
  <c r="J269" i="46" s="1"/>
  <c r="I155" i="46"/>
  <c r="I196" i="46"/>
  <c r="J196" i="46" s="1"/>
  <c r="K196" i="46"/>
  <c r="G93" i="46"/>
  <c r="G51" i="46"/>
  <c r="I113" i="46"/>
  <c r="T113" i="46"/>
  <c r="I248" i="46"/>
  <c r="I41" i="46"/>
  <c r="J41" i="46" s="1"/>
  <c r="K41" i="46"/>
  <c r="G192" i="46"/>
  <c r="I141" i="46"/>
  <c r="I50" i="46"/>
  <c r="J50" i="46"/>
  <c r="K50" i="46"/>
  <c r="G134" i="46"/>
  <c r="I92" i="46"/>
  <c r="T92" i="46"/>
  <c r="I66" i="46"/>
  <c r="J66" i="46" s="1"/>
  <c r="I34" i="46"/>
  <c r="S34" i="46"/>
  <c r="I33" i="46"/>
  <c r="J33" i="46"/>
  <c r="I43" i="46"/>
  <c r="J43" i="46" s="1"/>
  <c r="I167" i="46"/>
  <c r="I125" i="46"/>
  <c r="J125" i="46"/>
  <c r="K125" i="46" s="1"/>
  <c r="I146" i="46"/>
  <c r="J146" i="46" s="1"/>
  <c r="I100" i="46"/>
  <c r="J100" i="46" s="1"/>
  <c r="I74" i="46"/>
  <c r="T74" i="46"/>
  <c r="I139" i="46"/>
  <c r="T139" i="46" s="1"/>
  <c r="I163" i="46"/>
  <c r="I152" i="46"/>
  <c r="I233" i="46"/>
  <c r="I153" i="46"/>
  <c r="T153" i="46" s="1"/>
  <c r="I204" i="46"/>
  <c r="J204" i="46"/>
  <c r="I252" i="46"/>
  <c r="T252" i="46" s="1"/>
  <c r="I179" i="46"/>
  <c r="T179" i="46"/>
  <c r="I211" i="46"/>
  <c r="I259" i="46"/>
  <c r="I238" i="46"/>
  <c r="T238" i="46" s="1"/>
  <c r="I72" i="46"/>
  <c r="I19" i="46"/>
  <c r="J19" i="46" s="1"/>
  <c r="I31" i="46"/>
  <c r="J31" i="46" s="1"/>
  <c r="I32" i="46"/>
  <c r="S32" i="46"/>
  <c r="J32" i="46"/>
  <c r="L14" i="46"/>
  <c r="L278" i="46"/>
  <c r="I178" i="46"/>
  <c r="T178" i="46" s="1"/>
  <c r="I207" i="46"/>
  <c r="I251" i="46"/>
  <c r="T251" i="46"/>
  <c r="I230" i="46"/>
  <c r="J230" i="46" s="1"/>
  <c r="I79" i="46"/>
  <c r="I22" i="46"/>
  <c r="J22" i="46" s="1"/>
  <c r="I47" i="46"/>
  <c r="J47" i="46" s="1"/>
  <c r="D12" i="46"/>
  <c r="I93" i="46"/>
  <c r="T93" i="46" s="1"/>
  <c r="I88" i="46"/>
  <c r="T88" i="46"/>
  <c r="I117" i="46"/>
  <c r="J117" i="46" s="1"/>
  <c r="K117" i="46" s="1"/>
  <c r="G101" i="46"/>
  <c r="I35" i="46"/>
  <c r="J35" i="46"/>
  <c r="G123" i="46"/>
  <c r="G54" i="46"/>
  <c r="G142" i="46"/>
  <c r="G237" i="46"/>
  <c r="G157" i="46"/>
  <c r="G125" i="46"/>
  <c r="I130" i="46"/>
  <c r="I126" i="46"/>
  <c r="J126" i="46"/>
  <c r="T126" i="46"/>
  <c r="I82" i="46"/>
  <c r="J82" i="46" s="1"/>
  <c r="I162" i="46"/>
  <c r="I175" i="46"/>
  <c r="I197" i="46"/>
  <c r="I249" i="46"/>
  <c r="T249" i="46"/>
  <c r="I161" i="46"/>
  <c r="J161" i="46" s="1"/>
  <c r="I208" i="46"/>
  <c r="T208" i="46"/>
  <c r="I256" i="46"/>
  <c r="K256" i="46"/>
  <c r="T256" i="46"/>
  <c r="I183" i="46"/>
  <c r="I215" i="46"/>
  <c r="I263" i="46"/>
  <c r="T263" i="46" s="1"/>
  <c r="I242" i="46"/>
  <c r="T242" i="46"/>
  <c r="I67" i="46"/>
  <c r="J67" i="46"/>
  <c r="I30" i="46"/>
  <c r="I96" i="46"/>
  <c r="K96" i="46" s="1"/>
  <c r="I38" i="46"/>
  <c r="J38" i="46" s="1"/>
  <c r="I77" i="46"/>
  <c r="I105" i="46"/>
  <c r="I97" i="46"/>
  <c r="I36" i="46"/>
  <c r="G131" i="46"/>
  <c r="G62" i="46"/>
  <c r="G220" i="46"/>
  <c r="G223" i="46"/>
  <c r="G162" i="46"/>
  <c r="G97" i="46"/>
  <c r="I133" i="46"/>
  <c r="T133" i="46" s="1"/>
  <c r="I101" i="46"/>
  <c r="I129" i="46"/>
  <c r="T129" i="46" s="1"/>
  <c r="I110" i="46"/>
  <c r="T110" i="46" s="1"/>
  <c r="I191" i="46"/>
  <c r="I261" i="46"/>
  <c r="T261" i="46"/>
  <c r="I174" i="46"/>
  <c r="T174" i="46" s="1"/>
  <c r="J174" i="46"/>
  <c r="I265" i="46"/>
  <c r="I169" i="46"/>
  <c r="T169" i="46" s="1"/>
  <c r="I220" i="46"/>
  <c r="J220" i="46" s="1"/>
  <c r="I260" i="46"/>
  <c r="J260" i="46" s="1"/>
  <c r="I184" i="46"/>
  <c r="T184" i="46" s="1"/>
  <c r="I219" i="46"/>
  <c r="I267" i="46"/>
  <c r="I258" i="46"/>
  <c r="I45" i="46"/>
  <c r="I62" i="46"/>
  <c r="J62" i="46" s="1"/>
  <c r="I21" i="46"/>
  <c r="S21" i="46"/>
  <c r="G73" i="46"/>
  <c r="I99" i="46"/>
  <c r="I85" i="46"/>
  <c r="G102" i="46"/>
  <c r="G145" i="46"/>
  <c r="G88" i="46"/>
  <c r="G208" i="46"/>
  <c r="G216" i="46"/>
  <c r="G165" i="46"/>
  <c r="I89" i="46"/>
  <c r="J89" i="46" s="1"/>
  <c r="K89" i="46"/>
  <c r="I138" i="46"/>
  <c r="T138" i="46" s="1"/>
  <c r="I118" i="46"/>
  <c r="I132" i="46"/>
  <c r="J132" i="46"/>
  <c r="I114" i="46"/>
  <c r="T114" i="46" s="1"/>
  <c r="I194" i="46"/>
  <c r="T194" i="46"/>
  <c r="I135" i="46"/>
  <c r="J135" i="46" s="1"/>
  <c r="I149" i="46"/>
  <c r="I193" i="46"/>
  <c r="J193" i="46"/>
  <c r="I225" i="46"/>
  <c r="T225" i="46"/>
  <c r="I224" i="46"/>
  <c r="T224" i="46"/>
  <c r="I268" i="46"/>
  <c r="J268" i="46"/>
  <c r="T268" i="46"/>
  <c r="I185" i="46"/>
  <c r="I227" i="46"/>
  <c r="I275" i="46"/>
  <c r="T275" i="46" s="1"/>
  <c r="I262" i="46"/>
  <c r="J262" i="46" s="1"/>
  <c r="I37" i="46"/>
  <c r="G86" i="46"/>
  <c r="I64" i="46"/>
  <c r="T64" i="46" s="1"/>
  <c r="J64" i="46"/>
  <c r="I70" i="46"/>
  <c r="I81" i="46"/>
  <c r="J81" i="46" s="1"/>
  <c r="G81" i="46"/>
  <c r="G116" i="46"/>
  <c r="G35" i="46"/>
  <c r="G117" i="46"/>
  <c r="G224" i="46"/>
  <c r="G232" i="46"/>
  <c r="G173" i="46"/>
  <c r="I60" i="46"/>
  <c r="I108" i="46"/>
  <c r="I121" i="46"/>
  <c r="I166" i="46"/>
  <c r="J166" i="46" s="1"/>
  <c r="I142" i="46"/>
  <c r="T142" i="46" s="1"/>
  <c r="I120" i="46"/>
  <c r="I158" i="46"/>
  <c r="J158" i="46" s="1"/>
  <c r="K158" i="46"/>
  <c r="I157" i="46"/>
  <c r="J157" i="46" s="1"/>
  <c r="I171" i="46"/>
  <c r="J171" i="46"/>
  <c r="I241" i="46"/>
  <c r="I228" i="46"/>
  <c r="T228" i="46" s="1"/>
  <c r="I272" i="46"/>
  <c r="I187" i="46"/>
  <c r="I235" i="46"/>
  <c r="T235" i="46" s="1"/>
  <c r="I202" i="46"/>
  <c r="J202" i="46"/>
  <c r="T202" i="46"/>
  <c r="I266" i="46"/>
  <c r="T266" i="46" s="1"/>
  <c r="I28" i="46"/>
  <c r="S28" i="46"/>
  <c r="I83" i="46"/>
  <c r="T83" i="46" s="1"/>
  <c r="I40" i="46"/>
  <c r="J40" i="46" s="1"/>
  <c r="I122" i="46"/>
  <c r="I65" i="46"/>
  <c r="I78" i="46"/>
  <c r="J78" i="46" s="1"/>
  <c r="K78" i="46" s="1"/>
  <c r="T78" i="46"/>
  <c r="G141" i="46"/>
  <c r="G43" i="46"/>
  <c r="G138" i="46"/>
  <c r="G265" i="46"/>
  <c r="G273" i="46"/>
  <c r="G178" i="46"/>
  <c r="I52" i="46"/>
  <c r="J52" i="46"/>
  <c r="I112" i="46"/>
  <c r="T112" i="46"/>
  <c r="I76" i="46"/>
  <c r="T76" i="46"/>
  <c r="I137" i="46"/>
  <c r="J137" i="46" s="1"/>
  <c r="T137" i="46"/>
  <c r="I145" i="46"/>
  <c r="T145" i="46"/>
  <c r="I128" i="46"/>
  <c r="T128" i="46"/>
  <c r="I170" i="46"/>
  <c r="T170" i="46"/>
  <c r="I165" i="46"/>
  <c r="K165" i="46" s="1"/>
  <c r="J165" i="46"/>
  <c r="I198" i="46"/>
  <c r="J198" i="46"/>
  <c r="I232" i="46"/>
  <c r="T232" i="46"/>
  <c r="I176" i="46"/>
  <c r="T176" i="46"/>
  <c r="I188" i="46"/>
  <c r="I239" i="46"/>
  <c r="J239" i="46"/>
  <c r="I210" i="46"/>
  <c r="J210" i="46"/>
  <c r="I270" i="46"/>
  <c r="T270" i="46" s="1"/>
  <c r="I27" i="46"/>
  <c r="I80" i="46"/>
  <c r="K80" i="46"/>
  <c r="I48" i="46"/>
  <c r="T48" i="46" s="1"/>
  <c r="I56" i="46"/>
  <c r="I57" i="46"/>
  <c r="T57" i="46"/>
  <c r="I58" i="46"/>
  <c r="T58" i="46" s="1"/>
  <c r="I59" i="46"/>
  <c r="T59" i="46" s="1"/>
  <c r="J59" i="46"/>
  <c r="G92" i="46"/>
  <c r="G44" i="46"/>
  <c r="G135" i="46"/>
  <c r="G203" i="46"/>
  <c r="G197" i="46"/>
  <c r="G179" i="46"/>
  <c r="I109" i="46"/>
  <c r="J109" i="46"/>
  <c r="K109" i="46" s="1"/>
  <c r="I116" i="46"/>
  <c r="I84" i="46"/>
  <c r="J84" i="46"/>
  <c r="K84" i="46"/>
  <c r="I140" i="46"/>
  <c r="I213" i="46"/>
  <c r="I144" i="46"/>
  <c r="J144" i="46" s="1"/>
  <c r="I245" i="46"/>
  <c r="I217" i="46"/>
  <c r="J217" i="46"/>
  <c r="I221" i="46"/>
  <c r="J221" i="46" s="1"/>
  <c r="K221" i="46" s="1"/>
  <c r="I192" i="46"/>
  <c r="I240" i="46"/>
  <c r="T240" i="46" s="1"/>
  <c r="I177" i="46"/>
  <c r="J177" i="46" s="1"/>
  <c r="I199" i="46"/>
  <c r="J199" i="46"/>
  <c r="I243" i="46"/>
  <c r="J243" i="46" s="1"/>
  <c r="I222" i="46"/>
  <c r="I26" i="46"/>
  <c r="J26" i="46" s="1"/>
  <c r="S26" i="46"/>
  <c r="I63" i="46"/>
  <c r="J63" i="46" s="1"/>
  <c r="I42" i="46"/>
  <c r="S42" i="46"/>
  <c r="J252" i="46"/>
  <c r="K252" i="46" s="1"/>
  <c r="P21" i="46"/>
  <c r="O14" i="46"/>
  <c r="J51" i="46"/>
  <c r="K51" i="46" s="1"/>
  <c r="J256" i="46"/>
  <c r="T197" i="46"/>
  <c r="K262" i="46"/>
  <c r="J113" i="46"/>
  <c r="K113" i="46"/>
  <c r="T196" i="46"/>
  <c r="J197" i="46"/>
  <c r="K197" i="46" s="1"/>
  <c r="I55" i="46"/>
  <c r="T55" i="46"/>
  <c r="I154" i="46"/>
  <c r="T154" i="46"/>
  <c r="I20" i="46"/>
  <c r="I29" i="46"/>
  <c r="I95" i="46"/>
  <c r="I234" i="46"/>
  <c r="T234" i="46" s="1"/>
  <c r="I206" i="46"/>
  <c r="J206" i="46" s="1"/>
  <c r="I231" i="46"/>
  <c r="K231" i="46" s="1"/>
  <c r="I189" i="46"/>
  <c r="J189" i="46"/>
  <c r="I181" i="46"/>
  <c r="I244" i="46"/>
  <c r="I200" i="46"/>
  <c r="I209" i="46"/>
  <c r="I205" i="46"/>
  <c r="I164" i="46"/>
  <c r="T164" i="46" s="1"/>
  <c r="I173" i="46"/>
  <c r="J173" i="46" s="1"/>
  <c r="I143" i="46"/>
  <c r="S143" i="46"/>
  <c r="I150" i="46"/>
  <c r="T150" i="46"/>
  <c r="I147" i="46"/>
  <c r="I148" i="46"/>
  <c r="J148" i="46" s="1"/>
  <c r="I90" i="46"/>
  <c r="J90" i="46" s="1"/>
  <c r="I68" i="46"/>
  <c r="I54" i="46"/>
  <c r="T54" i="46" s="1"/>
  <c r="I24" i="46"/>
  <c r="J24" i="46" s="1"/>
  <c r="I53" i="46"/>
  <c r="J53" i="46" s="1"/>
  <c r="I75" i="46"/>
  <c r="I250" i="46"/>
  <c r="T250" i="46" s="1"/>
  <c r="I226" i="46"/>
  <c r="J226" i="46"/>
  <c r="K226" i="46" s="1"/>
  <c r="I271" i="46"/>
  <c r="I247" i="46"/>
  <c r="T247" i="46" s="1"/>
  <c r="J247" i="46"/>
  <c r="I203" i="46"/>
  <c r="I186" i="46"/>
  <c r="T186" i="46" s="1"/>
  <c r="I44" i="46"/>
  <c r="I94" i="46"/>
  <c r="J94" i="46" s="1"/>
  <c r="I229" i="46"/>
  <c r="I124" i="46"/>
  <c r="I107" i="46"/>
  <c r="J107" i="46" s="1"/>
  <c r="I134" i="46"/>
  <c r="I98" i="46"/>
  <c r="T98" i="46"/>
  <c r="I115" i="46"/>
  <c r="I156" i="46"/>
  <c r="I136" i="46"/>
  <c r="J136" i="46"/>
  <c r="I119" i="46"/>
  <c r="J119" i="46" s="1"/>
  <c r="I160" i="46"/>
  <c r="T160" i="46"/>
  <c r="I172" i="46"/>
  <c r="J172" i="46"/>
  <c r="I237" i="46"/>
  <c r="T237" i="46" s="1"/>
  <c r="I257" i="46"/>
  <c r="J257" i="46"/>
  <c r="I212" i="46"/>
  <c r="J212" i="46"/>
  <c r="I264" i="46"/>
  <c r="T264" i="46" s="1"/>
  <c r="J264" i="46"/>
  <c r="K264" i="46" s="1"/>
  <c r="I180" i="46"/>
  <c r="I190" i="46"/>
  <c r="I214" i="46"/>
  <c r="T214" i="46"/>
  <c r="I246" i="46"/>
  <c r="I274" i="46"/>
  <c r="T274" i="46"/>
  <c r="I61" i="46"/>
  <c r="J61" i="46" s="1"/>
  <c r="I25" i="46"/>
  <c r="I46" i="46"/>
  <c r="I39" i="46"/>
  <c r="J39" i="46"/>
  <c r="K39" i="46" s="1"/>
  <c r="I69" i="46"/>
  <c r="J69" i="46" s="1"/>
  <c r="K69" i="46" s="1"/>
  <c r="I73" i="46"/>
  <c r="T73" i="46" s="1"/>
  <c r="E278" i="46"/>
  <c r="G24" i="46"/>
  <c r="G22" i="46"/>
  <c r="I49" i="46"/>
  <c r="T49" i="46" s="1"/>
  <c r="I91" i="46"/>
  <c r="I103" i="46"/>
  <c r="I71" i="46"/>
  <c r="G96" i="46"/>
  <c r="G201" i="46"/>
  <c r="G253" i="46"/>
  <c r="G155" i="46"/>
  <c r="G187" i="46"/>
  <c r="I104" i="46"/>
  <c r="J104" i="46"/>
  <c r="K104" i="46" s="1"/>
  <c r="I102" i="46"/>
  <c r="I151" i="46"/>
  <c r="I111" i="46"/>
  <c r="T111" i="46"/>
  <c r="I106" i="46"/>
  <c r="J106" i="46" s="1"/>
  <c r="I123" i="46"/>
  <c r="I159" i="46"/>
  <c r="I127" i="46"/>
  <c r="I168" i="46"/>
  <c r="S168" i="46" s="1"/>
  <c r="I201" i="46"/>
  <c r="I253" i="46"/>
  <c r="J253" i="46" s="1"/>
  <c r="I273" i="46"/>
  <c r="T273" i="46" s="1"/>
  <c r="I216" i="46"/>
  <c r="T216" i="46" s="1"/>
  <c r="I236" i="46"/>
  <c r="T236" i="46" s="1"/>
  <c r="I182" i="46"/>
  <c r="I195" i="46"/>
  <c r="J195" i="46"/>
  <c r="I223" i="46"/>
  <c r="J223" i="46" s="1"/>
  <c r="K223" i="46" s="1"/>
  <c r="I255" i="46"/>
  <c r="I218" i="46"/>
  <c r="I254" i="46"/>
  <c r="T254" i="46"/>
  <c r="I86" i="46"/>
  <c r="J86" i="46" s="1"/>
  <c r="I23" i="46"/>
  <c r="I87" i="46"/>
  <c r="T87" i="46" s="1"/>
  <c r="J87" i="46"/>
  <c r="S51" i="46"/>
  <c r="T52" i="46"/>
  <c r="B26" i="29"/>
  <c r="B29" i="29"/>
  <c r="B28" i="29"/>
  <c r="B36" i="29" s="1"/>
  <c r="B37" i="29" s="1"/>
  <c r="S33" i="8"/>
  <c r="V33" i="8"/>
  <c r="B18" i="7"/>
  <c r="R33" i="8"/>
  <c r="L33" i="8"/>
  <c r="AD33" i="8"/>
  <c r="B21" i="8"/>
  <c r="Z33" i="8"/>
  <c r="E33" i="8"/>
  <c r="W33" i="8"/>
  <c r="T33" i="8"/>
  <c r="AB33" i="8"/>
  <c r="N355" i="16"/>
  <c r="J207" i="46"/>
  <c r="K207" i="46"/>
  <c r="J105" i="46"/>
  <c r="J242" i="46"/>
  <c r="K242" i="46" s="1"/>
  <c r="T211" i="46"/>
  <c r="J77" i="46"/>
  <c r="J224" i="46"/>
  <c r="K224" i="46"/>
  <c r="J235" i="46"/>
  <c r="K235" i="46"/>
  <c r="J179" i="46"/>
  <c r="S41" i="46"/>
  <c r="K137" i="46"/>
  <c r="J27" i="46"/>
  <c r="T217" i="46"/>
  <c r="J225" i="46"/>
  <c r="K225" i="46" s="1"/>
  <c r="J92" i="46"/>
  <c r="K92" i="46"/>
  <c r="J74" i="46"/>
  <c r="K74" i="46" s="1"/>
  <c r="J176" i="46"/>
  <c r="K176" i="46" s="1"/>
  <c r="J194" i="46"/>
  <c r="T125" i="46"/>
  <c r="K26" i="46"/>
  <c r="J57" i="46"/>
  <c r="T60" i="46"/>
  <c r="J60" i="46"/>
  <c r="K60" i="46"/>
  <c r="T81" i="46"/>
  <c r="J129" i="46"/>
  <c r="T96" i="46"/>
  <c r="J96" i="46"/>
  <c r="T213" i="46"/>
  <c r="J213" i="46"/>
  <c r="J232" i="46"/>
  <c r="K232" i="46"/>
  <c r="T265" i="46"/>
  <c r="J265" i="46"/>
  <c r="K265" i="46" s="1"/>
  <c r="T70" i="46"/>
  <c r="T62" i="46"/>
  <c r="K62" i="46"/>
  <c r="J249" i="46"/>
  <c r="K249" i="46" s="1"/>
  <c r="T80" i="46"/>
  <c r="J80" i="46"/>
  <c r="J187" i="46"/>
  <c r="K187" i="46"/>
  <c r="K174" i="46"/>
  <c r="J93" i="46"/>
  <c r="K93" i="46"/>
  <c r="T152" i="46"/>
  <c r="J152" i="46"/>
  <c r="K152" i="46" s="1"/>
  <c r="T272" i="46"/>
  <c r="J272" i="46"/>
  <c r="K272" i="46" s="1"/>
  <c r="T267" i="46"/>
  <c r="J267" i="46"/>
  <c r="K267" i="46"/>
  <c r="T215" i="46"/>
  <c r="J215" i="46"/>
  <c r="K215" i="46" s="1"/>
  <c r="T259" i="46"/>
  <c r="J259" i="46"/>
  <c r="T161" i="46"/>
  <c r="J76" i="46"/>
  <c r="K76" i="46" s="1"/>
  <c r="J42" i="46"/>
  <c r="K42" i="46"/>
  <c r="J192" i="46"/>
  <c r="J270" i="46"/>
  <c r="J170" i="46"/>
  <c r="K170" i="46" s="1"/>
  <c r="T121" i="46"/>
  <c r="J121" i="46"/>
  <c r="K121" i="46" s="1"/>
  <c r="J99" i="46"/>
  <c r="K99" i="46" s="1"/>
  <c r="T219" i="46"/>
  <c r="J219" i="46"/>
  <c r="K219" i="46"/>
  <c r="J191" i="46"/>
  <c r="K191" i="46" s="1"/>
  <c r="T82" i="46"/>
  <c r="K82" i="46"/>
  <c r="J139" i="46"/>
  <c r="K139" i="46"/>
  <c r="J30" i="46"/>
  <c r="T204" i="46"/>
  <c r="S36" i="46"/>
  <c r="T221" i="46"/>
  <c r="T210" i="46"/>
  <c r="J128" i="46"/>
  <c r="K128" i="46"/>
  <c r="T241" i="46"/>
  <c r="T108" i="46"/>
  <c r="J108" i="46"/>
  <c r="K108" i="46" s="1"/>
  <c r="J149" i="46"/>
  <c r="K149" i="46"/>
  <c r="J110" i="46"/>
  <c r="K110" i="46" s="1"/>
  <c r="J23" i="46"/>
  <c r="J123" i="46"/>
  <c r="K123" i="46" s="1"/>
  <c r="T180" i="46"/>
  <c r="J180" i="46"/>
  <c r="T136" i="46"/>
  <c r="T90" i="46"/>
  <c r="T209" i="46"/>
  <c r="J209" i="46"/>
  <c r="K209" i="46" s="1"/>
  <c r="J95" i="46"/>
  <c r="K95" i="46"/>
  <c r="J246" i="46"/>
  <c r="K246" i="46" s="1"/>
  <c r="T69" i="46"/>
  <c r="T68" i="46"/>
  <c r="J68" i="46"/>
  <c r="K68" i="46" s="1"/>
  <c r="T156" i="46"/>
  <c r="J156" i="46"/>
  <c r="K156" i="46" s="1"/>
  <c r="J44" i="46"/>
  <c r="K44" i="46"/>
  <c r="T226" i="46"/>
  <c r="K148" i="46"/>
  <c r="T200" i="46"/>
  <c r="J200" i="46"/>
  <c r="K200" i="46"/>
  <c r="T104" i="46"/>
  <c r="K107" i="46"/>
  <c r="J229" i="46"/>
  <c r="K229" i="46"/>
  <c r="T212" i="46"/>
  <c r="J147" i="46"/>
  <c r="K147" i="46"/>
  <c r="J20" i="46"/>
  <c r="T172" i="46"/>
  <c r="K172" i="46"/>
  <c r="T182" i="46"/>
  <c r="J182" i="46"/>
  <c r="J190" i="46"/>
  <c r="K190" i="46"/>
  <c r="K247" i="46"/>
  <c r="T253" i="46"/>
  <c r="T151" i="46"/>
  <c r="J151" i="46"/>
  <c r="K151" i="46" s="1"/>
  <c r="J71" i="46"/>
  <c r="K71" i="46"/>
  <c r="T257" i="46"/>
  <c r="J150" i="46"/>
  <c r="K150" i="46" s="1"/>
  <c r="T181" i="46"/>
  <c r="J181" i="46"/>
  <c r="K181" i="46"/>
  <c r="T205" i="46"/>
  <c r="J205" i="46"/>
  <c r="T106" i="46"/>
  <c r="J255" i="46"/>
  <c r="K255" i="46"/>
  <c r="T201" i="46"/>
  <c r="J201" i="46"/>
  <c r="K201" i="46" s="1"/>
  <c r="T102" i="46"/>
  <c r="J102" i="46"/>
  <c r="K102" i="46"/>
  <c r="J91" i="46"/>
  <c r="J231" i="46"/>
  <c r="S44" i="46"/>
  <c r="J73" i="46"/>
  <c r="K73" i="46"/>
  <c r="J214" i="46"/>
  <c r="J54" i="46"/>
  <c r="K54" i="46"/>
  <c r="S39" i="46"/>
  <c r="S23" i="46"/>
  <c r="K20" i="46"/>
  <c r="B248" i="16"/>
  <c r="B266" i="16"/>
  <c r="B260" i="16"/>
  <c r="E7" i="17"/>
  <c r="E8" i="17" s="1"/>
  <c r="D340" i="16"/>
  <c r="AH355" i="16"/>
  <c r="D253" i="16"/>
  <c r="D296" i="16"/>
  <c r="AH54" i="10"/>
  <c r="V54" i="10"/>
  <c r="AF54" i="10"/>
  <c r="P54" i="10"/>
  <c r="AD54" i="10"/>
  <c r="R54" i="10"/>
  <c r="Y54" i="10"/>
  <c r="S54" i="10"/>
  <c r="AE54" i="10"/>
  <c r="AI54" i="10"/>
  <c r="U54" i="10"/>
  <c r="Q54" i="10"/>
  <c r="AC54" i="10"/>
  <c r="T54" i="10"/>
  <c r="X54" i="10"/>
  <c r="Z54" i="10"/>
  <c r="AG40" i="10"/>
  <c r="C159" i="16"/>
  <c r="D320" i="16"/>
  <c r="C161" i="16"/>
  <c r="K161" i="16"/>
  <c r="K162" i="16"/>
  <c r="C169" i="16"/>
  <c r="O169" i="16"/>
  <c r="O170" i="16"/>
  <c r="C173" i="16"/>
  <c r="Q173" i="16" s="1"/>
  <c r="Q174" i="16" s="1"/>
  <c r="C207" i="16"/>
  <c r="AH207" i="16" s="1"/>
  <c r="AH208" i="16" s="1"/>
  <c r="C181" i="16"/>
  <c r="U181" i="16" s="1"/>
  <c r="U182" i="16" s="1"/>
  <c r="V181" i="16"/>
  <c r="C177" i="16"/>
  <c r="C179" i="16"/>
  <c r="D342" i="16"/>
  <c r="L10" i="10"/>
  <c r="T12" i="10"/>
  <c r="T61" i="10"/>
  <c r="AD12" i="10"/>
  <c r="AH12" i="10"/>
  <c r="W355" i="16"/>
  <c r="C187" i="16"/>
  <c r="X187" i="16"/>
  <c r="X188" i="16" s="1"/>
  <c r="Y187" i="16" s="1"/>
  <c r="C199" i="16"/>
  <c r="AD199" i="16" s="1"/>
  <c r="AD200" i="16" s="1"/>
  <c r="C205" i="16"/>
  <c r="C203" i="16"/>
  <c r="AF203" i="16" s="1"/>
  <c r="AF204" i="16" s="1"/>
  <c r="C155" i="16"/>
  <c r="AF12" i="10"/>
  <c r="L12" i="10"/>
  <c r="Z12" i="10"/>
  <c r="Z61" i="10" s="1"/>
  <c r="C149" i="16"/>
  <c r="C201" i="16"/>
  <c r="AE201" i="16" s="1"/>
  <c r="AE202" i="16" s="1"/>
  <c r="C157" i="16"/>
  <c r="I157" i="16" s="1"/>
  <c r="I158" i="16" s="1"/>
  <c r="D306" i="16"/>
  <c r="Z213" i="16"/>
  <c r="Z362" i="16"/>
  <c r="C185" i="16"/>
  <c r="U12" i="10"/>
  <c r="U61" i="10"/>
  <c r="S12" i="10"/>
  <c r="S61" i="10" s="1"/>
  <c r="V12" i="10"/>
  <c r="V61" i="10" s="1"/>
  <c r="AG12" i="10"/>
  <c r="Q355" i="16"/>
  <c r="E147" i="16"/>
  <c r="E148" i="16" s="1"/>
  <c r="C153" i="16"/>
  <c r="C163" i="16"/>
  <c r="AB12" i="10"/>
  <c r="AB61" i="10"/>
  <c r="N12" i="10"/>
  <c r="R12" i="10"/>
  <c r="F71" i="16"/>
  <c r="C209" i="16"/>
  <c r="AI209" i="16" s="1"/>
  <c r="AI210" i="16" s="1"/>
  <c r="C189" i="16"/>
  <c r="Y189" i="16" s="1"/>
  <c r="Y190" i="16" s="1"/>
  <c r="C167" i="16"/>
  <c r="C151" i="16"/>
  <c r="AC12" i="10"/>
  <c r="AE12" i="10"/>
  <c r="Q12" i="10"/>
  <c r="C183" i="16"/>
  <c r="V183" i="16"/>
  <c r="V184" i="16" s="1"/>
  <c r="W183" i="16" s="1"/>
  <c r="C195" i="16"/>
  <c r="AB195" i="16" s="1"/>
  <c r="AB196" i="16" s="1"/>
  <c r="C175" i="16"/>
  <c r="R175" i="16" s="1"/>
  <c r="R176" i="16" s="1"/>
  <c r="O12" i="10"/>
  <c r="AA12" i="10"/>
  <c r="M12" i="10"/>
  <c r="C197" i="16"/>
  <c r="AC197" i="16" s="1"/>
  <c r="AC198" i="16" s="1"/>
  <c r="C171" i="16"/>
  <c r="AA355" i="16"/>
  <c r="AA362" i="16" s="1"/>
  <c r="C193" i="16"/>
  <c r="AA193" i="16" s="1"/>
  <c r="AA194" i="16" s="1"/>
  <c r="M10" i="10"/>
  <c r="M11" i="10" s="1"/>
  <c r="X12" i="10"/>
  <c r="X61" i="10"/>
  <c r="E355" i="16"/>
  <c r="E356" i="16" s="1"/>
  <c r="F356" i="16" s="1"/>
  <c r="G356" i="16" s="1"/>
  <c r="V355" i="16"/>
  <c r="D206" i="16"/>
  <c r="AG205" i="16" s="1"/>
  <c r="D37" i="10"/>
  <c r="D58" i="10"/>
  <c r="E13" i="8" s="1"/>
  <c r="Y284" i="16"/>
  <c r="L284" i="16"/>
  <c r="D312" i="16"/>
  <c r="F355" i="16"/>
  <c r="E35" i="2"/>
  <c r="D302" i="16"/>
  <c r="C264" i="16"/>
  <c r="C280" i="16"/>
  <c r="AI280" i="16"/>
  <c r="AI281" i="16"/>
  <c r="C270" i="16"/>
  <c r="AD270" i="16"/>
  <c r="AD271" i="16"/>
  <c r="D318" i="16"/>
  <c r="C224" i="16"/>
  <c r="G224" i="16" s="1"/>
  <c r="G225" i="16" s="1"/>
  <c r="C256" i="16"/>
  <c r="C234" i="16"/>
  <c r="C232" i="16"/>
  <c r="C260" i="16"/>
  <c r="C278" i="16"/>
  <c r="C254" i="16"/>
  <c r="C240" i="16"/>
  <c r="E218" i="16"/>
  <c r="E219" i="16" s="1"/>
  <c r="C246" i="16"/>
  <c r="C250" i="16"/>
  <c r="C220" i="16"/>
  <c r="C242" i="16"/>
  <c r="C244" i="16"/>
  <c r="C236" i="16"/>
  <c r="C226" i="16"/>
  <c r="H226" i="16" s="1"/>
  <c r="H227" i="16" s="1"/>
  <c r="C228" i="16"/>
  <c r="C262" i="16"/>
  <c r="C238" i="16"/>
  <c r="C272" i="16"/>
  <c r="X355" i="16"/>
  <c r="C222" i="16"/>
  <c r="F222" i="16" s="1"/>
  <c r="F223" i="16" s="1"/>
  <c r="C276" i="16"/>
  <c r="C252" i="16"/>
  <c r="U252" i="16" s="1"/>
  <c r="C258" i="16"/>
  <c r="X258" i="16"/>
  <c r="X259" i="16" s="1"/>
  <c r="B3" i="15"/>
  <c r="E51" i="10"/>
  <c r="F52" i="10"/>
  <c r="E52" i="10"/>
  <c r="D10" i="9"/>
  <c r="AG61" i="10"/>
  <c r="E11" i="2"/>
  <c r="C345" i="16"/>
  <c r="E15" i="2"/>
  <c r="H355" i="16"/>
  <c r="E10" i="2"/>
  <c r="C305" i="16"/>
  <c r="L305" i="16"/>
  <c r="L306" i="16"/>
  <c r="E16" i="2"/>
  <c r="C8" i="15" s="1"/>
  <c r="E13" i="2"/>
  <c r="D241" i="16"/>
  <c r="E7" i="2"/>
  <c r="P27" i="16"/>
  <c r="P28" i="16" s="1"/>
  <c r="I24" i="10"/>
  <c r="G24" i="10"/>
  <c r="D24" i="10"/>
  <c r="E24" i="10"/>
  <c r="C23" i="10"/>
  <c r="C24" i="10"/>
  <c r="K24" i="10"/>
  <c r="J24" i="10"/>
  <c r="H24" i="10"/>
  <c r="F24" i="10"/>
  <c r="L24" i="10"/>
  <c r="G52" i="10"/>
  <c r="H43" i="10"/>
  <c r="I43" i="10"/>
  <c r="J43" i="10"/>
  <c r="D10" i="10"/>
  <c r="D59" i="10" s="1"/>
  <c r="J10" i="10"/>
  <c r="C10" i="10"/>
  <c r="C59" i="10" s="1"/>
  <c r="H10" i="10"/>
  <c r="B12" i="10"/>
  <c r="B61" i="10"/>
  <c r="I10" i="10"/>
  <c r="E54" i="10"/>
  <c r="E53" i="10" s="1"/>
  <c r="E55" i="10" s="1"/>
  <c r="F54" i="10" s="1"/>
  <c r="G10" i="10"/>
  <c r="E10" i="10"/>
  <c r="F10" i="10"/>
  <c r="D255" i="16"/>
  <c r="V284" i="16"/>
  <c r="V362" i="16" s="1"/>
  <c r="AI40" i="10"/>
  <c r="AI61" i="10" s="1"/>
  <c r="N40" i="10"/>
  <c r="O40" i="10"/>
  <c r="AB40" i="10"/>
  <c r="H38" i="10"/>
  <c r="S40" i="10"/>
  <c r="R40" i="10"/>
  <c r="AC40" i="10"/>
  <c r="N38" i="10"/>
  <c r="N39" i="10" s="1"/>
  <c r="V40" i="10"/>
  <c r="T40" i="10"/>
  <c r="Q38" i="10"/>
  <c r="F38" i="10"/>
  <c r="K38" i="10"/>
  <c r="Z40" i="10"/>
  <c r="U40" i="10"/>
  <c r="O38" i="10"/>
  <c r="E38" i="10"/>
  <c r="D38" i="10"/>
  <c r="W40" i="10"/>
  <c r="W61" i="10" s="1"/>
  <c r="AF40" i="10"/>
  <c r="AF61" i="10"/>
  <c r="AH40" i="10"/>
  <c r="AA40" i="10"/>
  <c r="Y40" i="10"/>
  <c r="Y61" i="10" s="1"/>
  <c r="P38" i="10"/>
  <c r="P39" i="10" s="1"/>
  <c r="Q40" i="10"/>
  <c r="Q61" i="10" s="1"/>
  <c r="AE40" i="10"/>
  <c r="AE61" i="10" s="1"/>
  <c r="X40" i="10"/>
  <c r="D40" i="10"/>
  <c r="C329" i="16"/>
  <c r="C313" i="16"/>
  <c r="C293" i="16"/>
  <c r="F293" i="16"/>
  <c r="F294" i="16" s="1"/>
  <c r="C319" i="16"/>
  <c r="S319" i="16" s="1"/>
  <c r="C323" i="16"/>
  <c r="C347" i="16"/>
  <c r="C315" i="16"/>
  <c r="Q315" i="16" s="1"/>
  <c r="Q316" i="16" s="1"/>
  <c r="R315" i="16" s="1"/>
  <c r="C309" i="16"/>
  <c r="C301" i="16"/>
  <c r="C291" i="16"/>
  <c r="E291" i="16" s="1"/>
  <c r="C337" i="16"/>
  <c r="AB337" i="16" s="1"/>
  <c r="AB338" i="16" s="1"/>
  <c r="C349" i="16"/>
  <c r="AH349" i="16" s="1"/>
  <c r="AH350" i="16" s="1"/>
  <c r="E289" i="16"/>
  <c r="E290" i="16" s="1"/>
  <c r="C299" i="16"/>
  <c r="C303" i="16"/>
  <c r="C325" i="16"/>
  <c r="V325" i="16" s="1"/>
  <c r="V326" i="16" s="1"/>
  <c r="C331" i="16"/>
  <c r="C341" i="16"/>
  <c r="AD341" i="16" s="1"/>
  <c r="C335" i="16"/>
  <c r="AA335" i="16"/>
  <c r="AA336" i="16" s="1"/>
  <c r="C321" i="16"/>
  <c r="T321" i="16" s="1"/>
  <c r="T322" i="16" s="1"/>
  <c r="C295" i="16"/>
  <c r="G295" i="16" s="1"/>
  <c r="G296" i="16" s="1"/>
  <c r="C333" i="16"/>
  <c r="C327" i="16"/>
  <c r="W327" i="16" s="1"/>
  <c r="W328" i="16" s="1"/>
  <c r="C343" i="16"/>
  <c r="C351" i="16"/>
  <c r="AI351" i="16" s="1"/>
  <c r="AI352" i="16" s="1"/>
  <c r="C307" i="16"/>
  <c r="M307" i="16" s="1"/>
  <c r="M308" i="16" s="1"/>
  <c r="N307" i="16" s="1"/>
  <c r="C317" i="16"/>
  <c r="R317" i="16" s="1"/>
  <c r="C297" i="16"/>
  <c r="H297" i="16" s="1"/>
  <c r="H298" i="16" s="1"/>
  <c r="C339" i="16"/>
  <c r="E15" i="9"/>
  <c r="D18" i="34" s="1"/>
  <c r="F15" i="9"/>
  <c r="F31" i="29" s="1"/>
  <c r="F32" i="29" s="1"/>
  <c r="D31" i="29"/>
  <c r="D32" i="29" s="1"/>
  <c r="C18" i="34"/>
  <c r="F14" i="2"/>
  <c r="Y260" i="16"/>
  <c r="Y261" i="16"/>
  <c r="Z260" i="16"/>
  <c r="G284" i="16"/>
  <c r="AH65" i="16"/>
  <c r="AH66" i="16" s="1"/>
  <c r="R102" i="16"/>
  <c r="R103" i="16" s="1"/>
  <c r="AF61" i="16"/>
  <c r="AF62" i="16" s="1"/>
  <c r="AE59" i="16"/>
  <c r="AE60" i="16"/>
  <c r="AI136" i="16"/>
  <c r="AI137" i="16" s="1"/>
  <c r="L90" i="16"/>
  <c r="L91" i="16"/>
  <c r="AD55" i="16"/>
  <c r="AD56" i="16"/>
  <c r="AE55" i="16" s="1"/>
  <c r="AE56" i="16" s="1"/>
  <c r="AF55" i="16" s="1"/>
  <c r="O96" i="16"/>
  <c r="O97" i="16" s="1"/>
  <c r="U110" i="16"/>
  <c r="U111" i="16"/>
  <c r="V110" i="16" s="1"/>
  <c r="AA49" i="16"/>
  <c r="AA50" i="16"/>
  <c r="T37" i="16"/>
  <c r="T38" i="16" s="1"/>
  <c r="AB123" i="16"/>
  <c r="AC122" i="16" s="1"/>
  <c r="N94" i="16"/>
  <c r="N95" i="16"/>
  <c r="O95" i="16"/>
  <c r="R31" i="16"/>
  <c r="R32" i="16" s="1"/>
  <c r="W41" i="16"/>
  <c r="W42" i="16" s="1"/>
  <c r="X41" i="16" s="1"/>
  <c r="AE57" i="16"/>
  <c r="AE58" i="16" s="1"/>
  <c r="K17" i="16"/>
  <c r="K18" i="16"/>
  <c r="L17" i="16" s="1"/>
  <c r="W112" i="16"/>
  <c r="W113" i="16"/>
  <c r="U39" i="16"/>
  <c r="U40" i="16" s="1"/>
  <c r="V39" i="16" s="1"/>
  <c r="N23" i="16"/>
  <c r="N24" i="16" s="1"/>
  <c r="W43" i="16"/>
  <c r="W44" i="16"/>
  <c r="X43" i="16" s="1"/>
  <c r="X44" i="16"/>
  <c r="U108" i="16"/>
  <c r="U109" i="16" s="1"/>
  <c r="X114" i="16"/>
  <c r="X115" i="16"/>
  <c r="S106" i="16"/>
  <c r="S107" i="16" s="1"/>
  <c r="L19" i="16"/>
  <c r="L20" i="16" s="1"/>
  <c r="Z47" i="16"/>
  <c r="Z48" i="16" s="1"/>
  <c r="AA47" i="16" s="1"/>
  <c r="AF130" i="16"/>
  <c r="AF131" i="16" s="1"/>
  <c r="AG130" i="16" s="1"/>
  <c r="N167" i="16"/>
  <c r="N168" i="16"/>
  <c r="D249" i="16"/>
  <c r="S248" i="16" s="1"/>
  <c r="D85" i="16"/>
  <c r="Z191" i="16"/>
  <c r="Z192" i="16"/>
  <c r="N284" i="16"/>
  <c r="E284" i="16"/>
  <c r="E285" i="16" s="1"/>
  <c r="F285" i="16"/>
  <c r="G285" i="16" s="1"/>
  <c r="H285" i="16" s="1"/>
  <c r="I285" i="16" s="1"/>
  <c r="J285" i="16" s="1"/>
  <c r="K285" i="16" s="1"/>
  <c r="L285" i="16" s="1"/>
  <c r="M285" i="16" s="1"/>
  <c r="N285" i="16" s="1"/>
  <c r="O285" i="16" s="1"/>
  <c r="P285" i="16" s="1"/>
  <c r="Q285" i="16" s="1"/>
  <c r="R285" i="16" s="1"/>
  <c r="S285" i="16" s="1"/>
  <c r="T285" i="16" s="1"/>
  <c r="D221" i="16"/>
  <c r="E220" i="16" s="1"/>
  <c r="E282" i="16" s="1"/>
  <c r="AA284" i="16"/>
  <c r="D8" i="16"/>
  <c r="E8" i="16" s="1"/>
  <c r="E71" i="16"/>
  <c r="AJ71" i="16" s="1"/>
  <c r="AA264" i="16"/>
  <c r="AA265" i="16" s="1"/>
  <c r="D152" i="16"/>
  <c r="F151" i="16"/>
  <c r="F152" i="16" s="1"/>
  <c r="O362" i="16"/>
  <c r="M7" i="8" s="1"/>
  <c r="F72" i="17"/>
  <c r="D164" i="16"/>
  <c r="L213" i="16"/>
  <c r="L362" i="16" s="1"/>
  <c r="D259" i="16"/>
  <c r="J230" i="16"/>
  <c r="J231" i="16" s="1"/>
  <c r="J284" i="16"/>
  <c r="AF284" i="16"/>
  <c r="D275" i="16"/>
  <c r="AF274" i="16" s="1"/>
  <c r="AF275" i="16" s="1"/>
  <c r="G142" i="16"/>
  <c r="F9" i="16"/>
  <c r="F10" i="16" s="1"/>
  <c r="P169" i="16"/>
  <c r="B276" i="16"/>
  <c r="B270" i="16"/>
  <c r="B268" i="16"/>
  <c r="B272" i="16"/>
  <c r="B274" i="16"/>
  <c r="B280" i="16"/>
  <c r="B278" i="16"/>
  <c r="O240" i="16"/>
  <c r="O241" i="16" s="1"/>
  <c r="L11" i="10"/>
  <c r="AG206" i="16"/>
  <c r="F16" i="2"/>
  <c r="D8" i="15" s="1"/>
  <c r="E10" i="9"/>
  <c r="G16" i="2" s="1"/>
  <c r="E8" i="15" s="1"/>
  <c r="F6" i="2"/>
  <c r="F15" i="2"/>
  <c r="F10" i="2"/>
  <c r="O39" i="10"/>
  <c r="H52" i="10"/>
  <c r="C58" i="10"/>
  <c r="D13" i="8"/>
  <c r="E31" i="29"/>
  <c r="E32" i="29"/>
  <c r="N309" i="16"/>
  <c r="N310" i="16"/>
  <c r="I65" i="9"/>
  <c r="J65" i="9" s="1"/>
  <c r="K65" i="9" s="1"/>
  <c r="L65" i="9" s="1"/>
  <c r="M65" i="9" s="1"/>
  <c r="N65" i="9" s="1"/>
  <c r="O65" i="9" s="1"/>
  <c r="P65" i="9" s="1"/>
  <c r="Q65" i="9" s="1"/>
  <c r="R65" i="9"/>
  <c r="S65" i="9" s="1"/>
  <c r="T65" i="9" s="1"/>
  <c r="U65" i="9" s="1"/>
  <c r="V65" i="9" s="1"/>
  <c r="W65" i="9" s="1"/>
  <c r="X65" i="9" s="1"/>
  <c r="Y65" i="9" s="1"/>
  <c r="Z65" i="9" s="1"/>
  <c r="AA65" i="9" s="1"/>
  <c r="AB65" i="9" s="1"/>
  <c r="AC65" i="9" s="1"/>
  <c r="AD65" i="9" s="1"/>
  <c r="AE65" i="9" s="1"/>
  <c r="AF65" i="9" s="1"/>
  <c r="AG65" i="9" s="1"/>
  <c r="E7" i="16"/>
  <c r="I52" i="10"/>
  <c r="B5" i="8"/>
  <c r="B8" i="8" s="1"/>
  <c r="B15" i="8" s="1"/>
  <c r="B19" i="8" s="1"/>
  <c r="B5" i="29" s="1"/>
  <c r="D23" i="2"/>
  <c r="D27" i="2"/>
  <c r="D29" i="2" s="1"/>
  <c r="B13" i="15"/>
  <c r="B12" i="15" s="1"/>
  <c r="B15" i="15"/>
  <c r="B18" i="15" s="1"/>
  <c r="M21" i="16"/>
  <c r="M22" i="16" s="1"/>
  <c r="AG132" i="16"/>
  <c r="AG133" i="16" s="1"/>
  <c r="AA121" i="16"/>
  <c r="AB120" i="16" s="1"/>
  <c r="AB121" i="16"/>
  <c r="AA120" i="16"/>
  <c r="Q101" i="16"/>
  <c r="R100" i="16"/>
  <c r="R101" i="16" s="1"/>
  <c r="V254" i="16"/>
  <c r="V255" i="16" s="1"/>
  <c r="W254" i="16"/>
  <c r="F6" i="16"/>
  <c r="G5" i="16" s="1"/>
  <c r="M93" i="16"/>
  <c r="P98" i="16"/>
  <c r="P99" i="16"/>
  <c r="AH63" i="16"/>
  <c r="AH64" i="16" s="1"/>
  <c r="Y114" i="16"/>
  <c r="Y115" i="16" s="1"/>
  <c r="Z114" i="16" s="1"/>
  <c r="E59" i="10"/>
  <c r="AF57" i="16"/>
  <c r="AG61" i="16"/>
  <c r="D39" i="10"/>
  <c r="D41" i="10"/>
  <c r="O94" i="16"/>
  <c r="AH5" i="9"/>
  <c r="AG131" i="16"/>
  <c r="AH130" i="16" s="1"/>
  <c r="E58" i="10"/>
  <c r="F13" i="8"/>
  <c r="M38" i="10"/>
  <c r="N25" i="16"/>
  <c r="N26" i="16" s="1"/>
  <c r="P171" i="16"/>
  <c r="P172" i="16"/>
  <c r="B15" i="17"/>
  <c r="B17" i="17"/>
  <c r="B19" i="17"/>
  <c r="B21" i="17"/>
  <c r="B7" i="17"/>
  <c r="B23" i="17"/>
  <c r="B9" i="17"/>
  <c r="B25" i="17"/>
  <c r="B13" i="17"/>
  <c r="B29" i="17"/>
  <c r="B33" i="17"/>
  <c r="W184" i="16"/>
  <c r="Y45" i="16"/>
  <c r="Y46" i="16"/>
  <c r="L38" i="10"/>
  <c r="G38" i="10"/>
  <c r="AD61" i="10"/>
  <c r="J38" i="10"/>
  <c r="L163" i="16"/>
  <c r="L164" i="16" s="1"/>
  <c r="AC124" i="16"/>
  <c r="AC125" i="16"/>
  <c r="R38" i="10"/>
  <c r="I38" i="10"/>
  <c r="AD40" i="10"/>
  <c r="B10" i="10"/>
  <c r="K10" i="10"/>
  <c r="F76" i="16"/>
  <c r="F77" i="16"/>
  <c r="W362" i="16"/>
  <c r="U10" i="15"/>
  <c r="N238" i="16"/>
  <c r="N239" i="16" s="1"/>
  <c r="B8" i="41"/>
  <c r="E6" i="2" s="1"/>
  <c r="E5" i="2" s="1"/>
  <c r="C43" i="29" s="1"/>
  <c r="O311" i="16"/>
  <c r="O312" i="16" s="1"/>
  <c r="P311" i="16"/>
  <c r="C26" i="10"/>
  <c r="C25" i="10"/>
  <c r="C27" i="10" s="1"/>
  <c r="AB284" i="16"/>
  <c r="AB362" i="16" s="1"/>
  <c r="D267" i="16"/>
  <c r="AB266" i="16"/>
  <c r="B81" i="17"/>
  <c r="B85" i="17"/>
  <c r="B89" i="17"/>
  <c r="B93" i="17"/>
  <c r="B97" i="17"/>
  <c r="B101" i="17"/>
  <c r="B109" i="17" s="1"/>
  <c r="X46" i="17"/>
  <c r="S362" i="16"/>
  <c r="Q10" i="15"/>
  <c r="J301" i="16"/>
  <c r="J302" i="16"/>
  <c r="N362" i="16"/>
  <c r="AE272" i="16"/>
  <c r="AE273" i="16" s="1"/>
  <c r="Z262" i="16"/>
  <c r="Z263" i="16" s="1"/>
  <c r="AA262" i="16" s="1"/>
  <c r="U362" i="16"/>
  <c r="B83" i="17"/>
  <c r="B87" i="17"/>
  <c r="B91" i="17"/>
  <c r="B95" i="17"/>
  <c r="B99" i="17"/>
  <c r="S104" i="16"/>
  <c r="S105" i="16"/>
  <c r="AD126" i="16"/>
  <c r="AD127" i="16" s="1"/>
  <c r="Q29" i="16"/>
  <c r="Q30" i="16" s="1"/>
  <c r="AG347" i="16"/>
  <c r="AG348" i="16"/>
  <c r="AH347" i="16"/>
  <c r="AH348" i="16" s="1"/>
  <c r="AI347" i="16" s="1"/>
  <c r="T362" i="16"/>
  <c r="R7" i="8"/>
  <c r="D229" i="16"/>
  <c r="I284" i="16"/>
  <c r="U321" i="16"/>
  <c r="U322" i="16" s="1"/>
  <c r="Q284" i="16"/>
  <c r="Q362" i="16" s="1"/>
  <c r="O7" i="8" s="1"/>
  <c r="D245" i="16"/>
  <c r="X7" i="8"/>
  <c r="X10" i="15"/>
  <c r="D83" i="16"/>
  <c r="D344" i="16"/>
  <c r="AE343" i="16"/>
  <c r="D277" i="16"/>
  <c r="AG276" i="16" s="1"/>
  <c r="B84" i="16"/>
  <c r="B100" i="16"/>
  <c r="D251" i="16"/>
  <c r="P355" i="16"/>
  <c r="P362" i="16" s="1"/>
  <c r="P313" i="16"/>
  <c r="P314" i="16" s="1"/>
  <c r="P284" i="16"/>
  <c r="B88" i="16"/>
  <c r="D330" i="16"/>
  <c r="S249" i="16"/>
  <c r="T248" i="16"/>
  <c r="D257" i="16"/>
  <c r="W256" i="16" s="1"/>
  <c r="M284" i="16"/>
  <c r="M362" i="16" s="1"/>
  <c r="K10" i="15" s="1"/>
  <c r="D178" i="16"/>
  <c r="P242" i="16"/>
  <c r="P243" i="16"/>
  <c r="Q243" i="16" s="1"/>
  <c r="B63" i="16"/>
  <c r="B90" i="16"/>
  <c r="X362" i="16"/>
  <c r="V7" i="8" s="1"/>
  <c r="D300" i="16"/>
  <c r="I299" i="16"/>
  <c r="M236" i="16"/>
  <c r="M237" i="16"/>
  <c r="AE284" i="16"/>
  <c r="AE362" i="16" s="1"/>
  <c r="AC10" i="15" s="1"/>
  <c r="I355" i="16"/>
  <c r="B65" i="16"/>
  <c r="B92" i="16"/>
  <c r="D79" i="16"/>
  <c r="E78" i="16"/>
  <c r="E140" i="16" s="1"/>
  <c r="E353" i="16"/>
  <c r="B61" i="16"/>
  <c r="B78" i="16"/>
  <c r="B94" i="16"/>
  <c r="AF362" i="16"/>
  <c r="J355" i="16"/>
  <c r="J362" i="16" s="1"/>
  <c r="H10" i="15" s="1"/>
  <c r="H356" i="16"/>
  <c r="I356" i="16" s="1"/>
  <c r="J356" i="16" s="1"/>
  <c r="K356" i="16" s="1"/>
  <c r="L356" i="16" s="1"/>
  <c r="M356" i="16" s="1"/>
  <c r="N356" i="16" s="1"/>
  <c r="O356" i="16" s="1"/>
  <c r="P356" i="16" s="1"/>
  <c r="Q356" i="16" s="1"/>
  <c r="R356" i="16" s="1"/>
  <c r="S356" i="16" s="1"/>
  <c r="T356" i="16" s="1"/>
  <c r="U356" i="16" s="1"/>
  <c r="V356" i="16" s="1"/>
  <c r="W356" i="16" s="1"/>
  <c r="X356" i="16" s="1"/>
  <c r="Y356" i="16" s="1"/>
  <c r="Z356" i="16" s="1"/>
  <c r="AA356" i="16" s="1"/>
  <c r="AB356" i="16" s="1"/>
  <c r="AC356" i="16" s="1"/>
  <c r="AD356" i="16" s="1"/>
  <c r="AE356" i="16" s="1"/>
  <c r="AF356" i="16" s="1"/>
  <c r="AG356" i="16" s="1"/>
  <c r="AH356" i="16" s="1"/>
  <c r="AI356" i="16" s="1"/>
  <c r="B67" i="16"/>
  <c r="B80" i="16"/>
  <c r="B96" i="16"/>
  <c r="B57" i="16"/>
  <c r="B82" i="16"/>
  <c r="E69" i="16"/>
  <c r="M305" i="16"/>
  <c r="B317" i="16"/>
  <c r="B325" i="16"/>
  <c r="B319" i="16"/>
  <c r="B323" i="16"/>
  <c r="B335" i="16"/>
  <c r="B321" i="16"/>
  <c r="B337" i="16"/>
  <c r="B315" i="16"/>
  <c r="B329" i="16"/>
  <c r="B331" i="16"/>
  <c r="B333" i="16"/>
  <c r="B327" i="16"/>
  <c r="D233" i="16"/>
  <c r="K232" i="16"/>
  <c r="K284" i="16"/>
  <c r="H213" i="16"/>
  <c r="H362" i="16" s="1"/>
  <c r="D156" i="16"/>
  <c r="P240" i="16"/>
  <c r="P241" i="16"/>
  <c r="Q240" i="16" s="1"/>
  <c r="AA191" i="16"/>
  <c r="AA192" i="16" s="1"/>
  <c r="R316" i="16"/>
  <c r="S315" i="16" s="1"/>
  <c r="D154" i="16"/>
  <c r="G153" i="16" s="1"/>
  <c r="AH205" i="16"/>
  <c r="AH206" i="16" s="1"/>
  <c r="H84" i="16"/>
  <c r="H85" i="16"/>
  <c r="S10" i="15"/>
  <c r="S23" i="7" s="1"/>
  <c r="S26" i="8" s="1"/>
  <c r="Q242" i="16"/>
  <c r="G213" i="16"/>
  <c r="G362" i="16" s="1"/>
  <c r="Y331" i="16"/>
  <c r="Y332" i="16" s="1"/>
  <c r="Y355" i="16"/>
  <c r="Y362" i="16"/>
  <c r="W7" i="8"/>
  <c r="D346" i="16"/>
  <c r="AF345" i="16" s="1"/>
  <c r="AF346" i="16" s="1"/>
  <c r="E213" i="16"/>
  <c r="E362" i="16"/>
  <c r="D150" i="16"/>
  <c r="E149" i="16"/>
  <c r="E150" i="16"/>
  <c r="B171" i="16"/>
  <c r="B191" i="16" s="1"/>
  <c r="B157" i="16"/>
  <c r="B155" i="16"/>
  <c r="B169" i="16"/>
  <c r="B153" i="16"/>
  <c r="B167" i="16"/>
  <c r="B151" i="16"/>
  <c r="B165" i="16"/>
  <c r="B163" i="16"/>
  <c r="B159" i="16"/>
  <c r="K355" i="16"/>
  <c r="D304" i="16"/>
  <c r="K303" i="16"/>
  <c r="R355" i="16"/>
  <c r="R318" i="16"/>
  <c r="Y10" i="15"/>
  <c r="E143" i="16"/>
  <c r="F143" i="16" s="1"/>
  <c r="H11" i="16"/>
  <c r="H12" i="16" s="1"/>
  <c r="I11" i="16" s="1"/>
  <c r="AB10" i="15"/>
  <c r="D269" i="16"/>
  <c r="AC268" i="16"/>
  <c r="AC269" i="16"/>
  <c r="AC284" i="16"/>
  <c r="AC362" i="16" s="1"/>
  <c r="D279" i="16"/>
  <c r="AH284" i="16"/>
  <c r="AH362" i="16" s="1"/>
  <c r="T7" i="8"/>
  <c r="I226" i="16"/>
  <c r="I227" i="16" s="1"/>
  <c r="AC339" i="16"/>
  <c r="AC340" i="16"/>
  <c r="U323" i="16"/>
  <c r="U324" i="16"/>
  <c r="L234" i="16"/>
  <c r="L235" i="16"/>
  <c r="AE7" i="8"/>
  <c r="AE10" i="15"/>
  <c r="AE23" i="7"/>
  <c r="AE26" i="8" s="1"/>
  <c r="D81" i="16"/>
  <c r="F80" i="16"/>
  <c r="F142" i="16"/>
  <c r="AB7" i="8"/>
  <c r="M10" i="15"/>
  <c r="M23" i="7" s="1"/>
  <c r="M26" i="8" s="1"/>
  <c r="Z261" i="16"/>
  <c r="O27" i="17"/>
  <c r="O28" i="17"/>
  <c r="C83" i="17"/>
  <c r="G83" i="17"/>
  <c r="H14" i="17"/>
  <c r="I13" i="17" s="1"/>
  <c r="C91" i="17"/>
  <c r="K91" i="17" s="1"/>
  <c r="K92" i="17" s="1"/>
  <c r="AA52" i="17"/>
  <c r="AB51" i="17" s="1"/>
  <c r="AB52" i="17" s="1"/>
  <c r="Q32" i="17"/>
  <c r="R31" i="17" s="1"/>
  <c r="Z50" i="17"/>
  <c r="AA49" i="17" s="1"/>
  <c r="AA50" i="17" s="1"/>
  <c r="J18" i="17"/>
  <c r="K17" i="17" s="1"/>
  <c r="K18" i="17" s="1"/>
  <c r="S36" i="17"/>
  <c r="P30" i="17"/>
  <c r="F9" i="17"/>
  <c r="F10" i="17"/>
  <c r="J7" i="8"/>
  <c r="Q7" i="8"/>
  <c r="AJ71" i="17"/>
  <c r="T35" i="17"/>
  <c r="T36" i="17" s="1"/>
  <c r="F7" i="17"/>
  <c r="F8" i="17" s="1"/>
  <c r="M23" i="17"/>
  <c r="M24" i="17"/>
  <c r="F77" i="17"/>
  <c r="F78" i="17" s="1"/>
  <c r="G77" i="17" s="1"/>
  <c r="AC55" i="17"/>
  <c r="AC56" i="17"/>
  <c r="G12" i="17"/>
  <c r="AI68" i="17"/>
  <c r="Y48" i="17"/>
  <c r="V42" i="17"/>
  <c r="E143" i="17"/>
  <c r="E149" i="17"/>
  <c r="D80" i="17"/>
  <c r="G72" i="17"/>
  <c r="AE59" i="17"/>
  <c r="AE60" i="17"/>
  <c r="I15" i="17"/>
  <c r="I16" i="17"/>
  <c r="AH66" i="17"/>
  <c r="U40" i="17"/>
  <c r="E69" i="17"/>
  <c r="E6" i="17"/>
  <c r="AG63" i="17"/>
  <c r="AG64" i="17"/>
  <c r="K19" i="17"/>
  <c r="K20" i="17" s="1"/>
  <c r="C87" i="17"/>
  <c r="C139" i="17"/>
  <c r="AI139" i="17" s="1"/>
  <c r="AI140" i="17" s="1"/>
  <c r="C131" i="17"/>
  <c r="C123" i="17"/>
  <c r="C115" i="17"/>
  <c r="C107" i="17"/>
  <c r="C137" i="17"/>
  <c r="C133" i="17"/>
  <c r="C129" i="17"/>
  <c r="C125" i="17"/>
  <c r="C121" i="17"/>
  <c r="Z121" i="17"/>
  <c r="Z122" i="17"/>
  <c r="C117" i="17"/>
  <c r="C113" i="17"/>
  <c r="C109" i="17"/>
  <c r="C105" i="17"/>
  <c r="C101" i="17"/>
  <c r="C111" i="17"/>
  <c r="C103" i="17"/>
  <c r="C93" i="17"/>
  <c r="C89" i="17"/>
  <c r="C85" i="17"/>
  <c r="C81" i="17"/>
  <c r="C97" i="17"/>
  <c r="C135" i="17"/>
  <c r="C99" i="17"/>
  <c r="C95" i="17"/>
  <c r="C79" i="17"/>
  <c r="E79" i="17"/>
  <c r="E141" i="17" s="1"/>
  <c r="E147" i="17" s="1"/>
  <c r="Y119" i="17"/>
  <c r="Y120" i="17"/>
  <c r="Z119" i="17" s="1"/>
  <c r="G84" i="17"/>
  <c r="B121" i="17"/>
  <c r="B17" i="15"/>
  <c r="B19" i="15" s="1"/>
  <c r="C16" i="15" s="1"/>
  <c r="Q98" i="16"/>
  <c r="Q99" i="16" s="1"/>
  <c r="N92" i="16"/>
  <c r="N93" i="16" s="1"/>
  <c r="P312" i="16"/>
  <c r="Q311" i="16" s="1"/>
  <c r="P94" i="16"/>
  <c r="R32" i="17"/>
  <c r="S31" i="17" s="1"/>
  <c r="B113" i="17"/>
  <c r="Z7" i="8"/>
  <c r="S7" i="8"/>
  <c r="B59" i="10"/>
  <c r="B11" i="10"/>
  <c r="F53" i="10"/>
  <c r="F55" i="10"/>
  <c r="AH131" i="16"/>
  <c r="B115" i="17"/>
  <c r="B119" i="17"/>
  <c r="O25" i="16"/>
  <c r="O26" i="16" s="1"/>
  <c r="G59" i="10"/>
  <c r="B111" i="17"/>
  <c r="B125" i="17"/>
  <c r="B139" i="17" s="1"/>
  <c r="B103" i="17"/>
  <c r="I59" i="10"/>
  <c r="X183" i="16"/>
  <c r="E40" i="10"/>
  <c r="E39" i="10" s="1"/>
  <c r="E41" i="10" s="1"/>
  <c r="R39" i="10"/>
  <c r="B45" i="17"/>
  <c r="B37" i="17"/>
  <c r="B35" i="17"/>
  <c r="B41" i="17"/>
  <c r="B53" i="17"/>
  <c r="B63" i="17" s="1"/>
  <c r="B39" i="17"/>
  <c r="B47" i="17"/>
  <c r="B51" i="17"/>
  <c r="B117" i="17"/>
  <c r="Q313" i="16"/>
  <c r="H7" i="8"/>
  <c r="V10" i="15"/>
  <c r="AD10" i="15"/>
  <c r="AD23" i="7"/>
  <c r="AD26" i="8" s="1"/>
  <c r="AD7" i="8"/>
  <c r="AC7" i="8"/>
  <c r="B108" i="16"/>
  <c r="B102" i="16"/>
  <c r="B104" i="16"/>
  <c r="B122" i="16"/>
  <c r="B120" i="16"/>
  <c r="B114" i="16"/>
  <c r="D246" i="16"/>
  <c r="I362" i="16"/>
  <c r="C7" i="8"/>
  <c r="AJ355" i="16"/>
  <c r="Q244" i="16"/>
  <c r="Q245" i="16" s="1"/>
  <c r="I228" i="16"/>
  <c r="I229" i="16"/>
  <c r="AG277" i="16"/>
  <c r="O10" i="15"/>
  <c r="E292" i="16"/>
  <c r="K7" i="8"/>
  <c r="S177" i="16"/>
  <c r="S178" i="16" s="1"/>
  <c r="AE344" i="16"/>
  <c r="AF343" i="16" s="1"/>
  <c r="AF344" i="16" s="1"/>
  <c r="AG343" i="16" s="1"/>
  <c r="X23" i="7"/>
  <c r="X26" i="8"/>
  <c r="AB191" i="16"/>
  <c r="Q241" i="16"/>
  <c r="M234" i="16"/>
  <c r="M235" i="16" s="1"/>
  <c r="AD339" i="16"/>
  <c r="AD340" i="16" s="1"/>
  <c r="H23" i="7"/>
  <c r="H26" i="8"/>
  <c r="C10" i="15"/>
  <c r="C3" i="15" s="1"/>
  <c r="B183" i="16"/>
  <c r="B173" i="16"/>
  <c r="B175" i="16"/>
  <c r="B185" i="16"/>
  <c r="B179" i="16"/>
  <c r="B193" i="16"/>
  <c r="B177" i="16"/>
  <c r="B181" i="16"/>
  <c r="B195" i="16"/>
  <c r="B201" i="16"/>
  <c r="B187" i="16"/>
  <c r="W10" i="15"/>
  <c r="W23" i="7" s="1"/>
  <c r="W26" i="8" s="1"/>
  <c r="W35" i="8" s="1"/>
  <c r="AA260" i="16"/>
  <c r="AA261" i="16" s="1"/>
  <c r="AB260" i="16" s="1"/>
  <c r="AH278" i="16"/>
  <c r="AH279" i="16" s="1"/>
  <c r="Q23" i="7"/>
  <c r="Q26" i="8" s="1"/>
  <c r="H155" i="16"/>
  <c r="H156" i="16"/>
  <c r="K362" i="16"/>
  <c r="G154" i="16"/>
  <c r="F362" i="16"/>
  <c r="AJ142" i="16"/>
  <c r="AB23" i="7"/>
  <c r="AB26" i="8" s="1"/>
  <c r="S317" i="16"/>
  <c r="S318" i="16"/>
  <c r="T317" i="16" s="1"/>
  <c r="T318" i="16" s="1"/>
  <c r="K233" i="16"/>
  <c r="I12" i="16"/>
  <c r="I84" i="16"/>
  <c r="E10" i="15"/>
  <c r="E3" i="15" s="1"/>
  <c r="E7" i="8"/>
  <c r="F10" i="15"/>
  <c r="F7" i="8"/>
  <c r="F81" i="16"/>
  <c r="K304" i="16"/>
  <c r="L303" i="16" s="1"/>
  <c r="L304" i="16" s="1"/>
  <c r="M303" i="16" s="1"/>
  <c r="E214" i="16"/>
  <c r="F214" i="16" s="1"/>
  <c r="AJ213" i="16"/>
  <c r="B347" i="16"/>
  <c r="B345" i="16"/>
  <c r="B339" i="16"/>
  <c r="B351" i="16"/>
  <c r="B343" i="16"/>
  <c r="B349" i="16"/>
  <c r="B341" i="16"/>
  <c r="AD55" i="17"/>
  <c r="AD56" i="17" s="1"/>
  <c r="AI65" i="17"/>
  <c r="AI66" i="17" s="1"/>
  <c r="Z47" i="17"/>
  <c r="Z48" i="17"/>
  <c r="W115" i="17"/>
  <c r="W116" i="17"/>
  <c r="X115" i="17" s="1"/>
  <c r="J89" i="17"/>
  <c r="J90" i="17" s="1"/>
  <c r="K89" i="17" s="1"/>
  <c r="X117" i="17"/>
  <c r="X118" i="17" s="1"/>
  <c r="H11" i="17"/>
  <c r="H12" i="17"/>
  <c r="N23" i="17"/>
  <c r="N24" i="17" s="1"/>
  <c r="M95" i="17"/>
  <c r="M96" i="17"/>
  <c r="N95" i="17"/>
  <c r="Q103" i="17"/>
  <c r="Q104" i="17"/>
  <c r="R103" i="17"/>
  <c r="AB125" i="17"/>
  <c r="AB126" i="17" s="1"/>
  <c r="O99" i="17"/>
  <c r="O100" i="17"/>
  <c r="P99" i="17" s="1"/>
  <c r="P100" i="17" s="1"/>
  <c r="Q99" i="17" s="1"/>
  <c r="U111" i="17"/>
  <c r="U112" i="17"/>
  <c r="V111" i="17" s="1"/>
  <c r="V112" i="17" s="1"/>
  <c r="W111" i="17" s="1"/>
  <c r="AD129" i="17"/>
  <c r="AD130" i="17" s="1"/>
  <c r="G9" i="17"/>
  <c r="G10" i="17"/>
  <c r="H72" i="17"/>
  <c r="AJ143" i="17"/>
  <c r="AJ149" i="17" s="1"/>
  <c r="E144" i="17"/>
  <c r="AH137" i="17"/>
  <c r="AH138" i="17"/>
  <c r="Z120" i="17"/>
  <c r="H85" i="17"/>
  <c r="H86" i="17" s="1"/>
  <c r="J15" i="17"/>
  <c r="J16" i="17"/>
  <c r="AA123" i="17"/>
  <c r="AA124" i="17" s="1"/>
  <c r="AB123" i="17" s="1"/>
  <c r="L93" i="17"/>
  <c r="L94" i="17" s="1"/>
  <c r="L19" i="17"/>
  <c r="L20" i="17" s="1"/>
  <c r="AF59" i="17"/>
  <c r="AF60" i="17" s="1"/>
  <c r="H83" i="17"/>
  <c r="F5" i="17"/>
  <c r="E70" i="17"/>
  <c r="AG135" i="17"/>
  <c r="AG136" i="17"/>
  <c r="P101" i="17"/>
  <c r="P102" i="17"/>
  <c r="AF133" i="17"/>
  <c r="AF134" i="17" s="1"/>
  <c r="P27" i="17"/>
  <c r="P28" i="17" s="1"/>
  <c r="V39" i="17"/>
  <c r="V40" i="17"/>
  <c r="W39" i="17" s="1"/>
  <c r="W40" i="17" s="1"/>
  <c r="X39" i="17" s="1"/>
  <c r="W41" i="17"/>
  <c r="W42" i="17"/>
  <c r="R105" i="17"/>
  <c r="R106" i="17" s="1"/>
  <c r="F81" i="17"/>
  <c r="F82" i="17"/>
  <c r="G81" i="17" s="1"/>
  <c r="T109" i="17"/>
  <c r="T110" i="17" s="1"/>
  <c r="S107" i="17"/>
  <c r="S108" i="17" s="1"/>
  <c r="AH63" i="17"/>
  <c r="AH64" i="17" s="1"/>
  <c r="N97" i="17"/>
  <c r="N98" i="17"/>
  <c r="O97" i="17" s="1"/>
  <c r="O98" i="17" s="1"/>
  <c r="B127" i="17"/>
  <c r="V113" i="17"/>
  <c r="V114" i="17"/>
  <c r="W113" i="17"/>
  <c r="AI130" i="16"/>
  <c r="B67" i="17"/>
  <c r="B57" i="17"/>
  <c r="B55" i="17"/>
  <c r="B59" i="17"/>
  <c r="B61" i="17"/>
  <c r="B65" i="17"/>
  <c r="B135" i="17"/>
  <c r="B129" i="17"/>
  <c r="B133" i="17"/>
  <c r="O23" i="7"/>
  <c r="O26" i="8" s="1"/>
  <c r="O35" i="8" s="1"/>
  <c r="C13" i="15"/>
  <c r="C12" i="15"/>
  <c r="B137" i="17"/>
  <c r="B131" i="17"/>
  <c r="B13" i="10"/>
  <c r="C12" i="10" s="1"/>
  <c r="B60" i="10"/>
  <c r="G54" i="10"/>
  <c r="G53" i="10" s="1"/>
  <c r="AH276" i="16"/>
  <c r="AH277" i="16" s="1"/>
  <c r="AI276" i="16" s="1"/>
  <c r="AI277" i="16" s="1"/>
  <c r="T177" i="16"/>
  <c r="V23" i="7"/>
  <c r="V26" i="8"/>
  <c r="F291" i="16"/>
  <c r="E354" i="16"/>
  <c r="G7" i="8"/>
  <c r="G10" i="15"/>
  <c r="N10" i="15"/>
  <c r="N23" i="7" s="1"/>
  <c r="N7" i="8"/>
  <c r="D247" i="16"/>
  <c r="R284" i="16"/>
  <c r="R362" i="16"/>
  <c r="AC23" i="7"/>
  <c r="AC26" i="8" s="1"/>
  <c r="AC35" i="8" s="1"/>
  <c r="I155" i="16"/>
  <c r="I156" i="16"/>
  <c r="R240" i="16"/>
  <c r="R241" i="16" s="1"/>
  <c r="G80" i="16"/>
  <c r="G81" i="16" s="1"/>
  <c r="E23" i="7"/>
  <c r="E26" i="8"/>
  <c r="F35" i="8" s="1"/>
  <c r="L232" i="16"/>
  <c r="L233" i="16" s="1"/>
  <c r="H153" i="16"/>
  <c r="H154" i="16"/>
  <c r="AD268" i="16"/>
  <c r="AD269" i="16" s="1"/>
  <c r="AI278" i="16"/>
  <c r="B199" i="16"/>
  <c r="B209" i="16"/>
  <c r="B207" i="16"/>
  <c r="B205" i="16"/>
  <c r="B197" i="16"/>
  <c r="B203" i="16"/>
  <c r="E212" i="16"/>
  <c r="F149" i="16"/>
  <c r="F150" i="16" s="1"/>
  <c r="G149" i="16" s="1"/>
  <c r="J11" i="16"/>
  <c r="J12" i="16"/>
  <c r="D10" i="15"/>
  <c r="D3" i="15" s="1"/>
  <c r="D7" i="8"/>
  <c r="F23" i="7"/>
  <c r="F26" i="8"/>
  <c r="I10" i="15"/>
  <c r="I23" i="7" s="1"/>
  <c r="I7" i="8"/>
  <c r="G143" i="16"/>
  <c r="H143" i="16" s="1"/>
  <c r="I143" i="16" s="1"/>
  <c r="J143" i="16" s="1"/>
  <c r="K143" i="16" s="1"/>
  <c r="AG345" i="16"/>
  <c r="F144" i="17"/>
  <c r="G144" i="17"/>
  <c r="E150" i="17"/>
  <c r="AA47" i="17"/>
  <c r="AA48" i="17"/>
  <c r="I11" i="17"/>
  <c r="I12" i="17"/>
  <c r="J11" i="17" s="1"/>
  <c r="K15" i="17"/>
  <c r="K16" i="17" s="1"/>
  <c r="L15" i="17" s="1"/>
  <c r="N96" i="17"/>
  <c r="H9" i="17"/>
  <c r="H10" i="17"/>
  <c r="X41" i="17"/>
  <c r="X42" i="17"/>
  <c r="AI137" i="17"/>
  <c r="AI138" i="17"/>
  <c r="AH135" i="17"/>
  <c r="X116" i="17"/>
  <c r="E80" i="17"/>
  <c r="F79" i="17" s="1"/>
  <c r="F141" i="17" s="1"/>
  <c r="I72" i="17"/>
  <c r="J72" i="17" s="1"/>
  <c r="R104" i="17"/>
  <c r="W114" i="17"/>
  <c r="X113" i="17" s="1"/>
  <c r="Q101" i="17"/>
  <c r="Q102" i="17" s="1"/>
  <c r="R101" i="17" s="1"/>
  <c r="AA119" i="17"/>
  <c r="AA120" i="17"/>
  <c r="AB119" i="17" s="1"/>
  <c r="AB120" i="17" s="1"/>
  <c r="Q27" i="17"/>
  <c r="C8" i="7"/>
  <c r="C22" i="8" s="1"/>
  <c r="C31" i="8" s="1"/>
  <c r="B62" i="10"/>
  <c r="C28" i="7" s="1"/>
  <c r="C6" i="19" s="1"/>
  <c r="C47" i="8"/>
  <c r="C14" i="8"/>
  <c r="G23" i="7"/>
  <c r="G26" i="8" s="1"/>
  <c r="G35" i="8" s="1"/>
  <c r="AH65" i="9"/>
  <c r="F292" i="16"/>
  <c r="AJ284" i="16"/>
  <c r="AJ362" i="16"/>
  <c r="U285" i="16"/>
  <c r="V285" i="16"/>
  <c r="W285" i="16" s="1"/>
  <c r="X285" i="16" s="1"/>
  <c r="Y285" i="16" s="1"/>
  <c r="Z285" i="16" s="1"/>
  <c r="AA285" i="16" s="1"/>
  <c r="AB285" i="16" s="1"/>
  <c r="AC285" i="16" s="1"/>
  <c r="AD285" i="16" s="1"/>
  <c r="AE285" i="16" s="1"/>
  <c r="AF285" i="16" s="1"/>
  <c r="AG285" i="16" s="1"/>
  <c r="AH285" i="16" s="1"/>
  <c r="AI285" i="16" s="1"/>
  <c r="R246" i="16"/>
  <c r="R247" i="16" s="1"/>
  <c r="N26" i="8"/>
  <c r="N35" i="8" s="1"/>
  <c r="K11" i="16"/>
  <c r="K12" i="16" s="1"/>
  <c r="L11" i="16" s="1"/>
  <c r="I26" i="8"/>
  <c r="I153" i="16"/>
  <c r="I154" i="16" s="1"/>
  <c r="J153" i="16" s="1"/>
  <c r="Y41" i="17"/>
  <c r="Y42" i="17" s="1"/>
  <c r="Z41" i="17" s="1"/>
  <c r="Z42" i="17" s="1"/>
  <c r="AA41" i="17" s="1"/>
  <c r="W112" i="17"/>
  <c r="X111" i="17" s="1"/>
  <c r="S103" i="17"/>
  <c r="S104" i="17" s="1"/>
  <c r="T103" i="17" s="1"/>
  <c r="E142" i="17"/>
  <c r="E148" i="17" s="1"/>
  <c r="C13" i="7" s="1"/>
  <c r="Y115" i="17"/>
  <c r="Y116" i="17"/>
  <c r="Q100" i="17"/>
  <c r="R99" i="17" s="1"/>
  <c r="R100" i="17" s="1"/>
  <c r="P10" i="15"/>
  <c r="P7" i="8"/>
  <c r="G291" i="16"/>
  <c r="Z115" i="17"/>
  <c r="X112" i="17"/>
  <c r="T104" i="17"/>
  <c r="U103" i="17" s="1"/>
  <c r="K72" i="17"/>
  <c r="L72" i="17" s="1"/>
  <c r="M72" i="17" s="1"/>
  <c r="N72" i="17" s="1"/>
  <c r="O72" i="17" s="1"/>
  <c r="P72" i="17" s="1"/>
  <c r="Q72" i="17" s="1"/>
  <c r="R72" i="17" s="1"/>
  <c r="S72" i="17" s="1"/>
  <c r="T72" i="17" s="1"/>
  <c r="U72" i="17" s="1"/>
  <c r="V72" i="17" s="1"/>
  <c r="W72" i="17" s="1"/>
  <c r="X72" i="17" s="1"/>
  <c r="Y72" i="17" s="1"/>
  <c r="G150" i="16"/>
  <c r="H149" i="16" s="1"/>
  <c r="L143" i="16"/>
  <c r="M143" i="16"/>
  <c r="N143" i="16" s="1"/>
  <c r="Z72" i="17"/>
  <c r="AA72" i="17" s="1"/>
  <c r="AB72" i="17" s="1"/>
  <c r="AC72" i="17" s="1"/>
  <c r="AD72" i="17" s="1"/>
  <c r="AE72" i="17" s="1"/>
  <c r="E14" i="2"/>
  <c r="C24" i="7" s="1"/>
  <c r="C27" i="8" s="1"/>
  <c r="C36" i="8" s="1"/>
  <c r="S20" i="46"/>
  <c r="S3" i="46"/>
  <c r="T3" i="46"/>
  <c r="S5" i="46"/>
  <c r="T53" i="46"/>
  <c r="T5" i="46"/>
  <c r="Q14" i="46"/>
  <c r="Q278" i="46" s="1"/>
  <c r="T10" i="46"/>
  <c r="S7" i="46"/>
  <c r="T7" i="46"/>
  <c r="K88" i="46"/>
  <c r="S109" i="46"/>
  <c r="T9" i="46"/>
  <c r="K188" i="46"/>
  <c r="S6" i="46"/>
  <c r="T6" i="46"/>
  <c r="T8" i="46"/>
  <c r="T190" i="46"/>
  <c r="S8" i="46"/>
  <c r="T4" i="46"/>
  <c r="T11" i="46" s="1"/>
  <c r="S4" i="46"/>
  <c r="J154" i="46"/>
  <c r="K154" i="46" s="1"/>
  <c r="J208" i="46"/>
  <c r="J55" i="46"/>
  <c r="K55" i="46"/>
  <c r="T86" i="46"/>
  <c r="J261" i="46"/>
  <c r="J21" i="46"/>
  <c r="K21" i="46" s="1"/>
  <c r="J48" i="46"/>
  <c r="K268" i="46"/>
  <c r="K23" i="46"/>
  <c r="S25" i="46"/>
  <c r="J88" i="46"/>
  <c r="T177" i="46"/>
  <c r="T245" i="46"/>
  <c r="J188" i="46"/>
  <c r="J184" i="46"/>
  <c r="K184" i="46" s="1"/>
  <c r="J97" i="46"/>
  <c r="K97" i="46" s="1"/>
  <c r="K32" i="46"/>
  <c r="T100" i="46"/>
  <c r="T189" i="46"/>
  <c r="J237" i="46"/>
  <c r="K237" i="46" s="1"/>
  <c r="T61" i="46"/>
  <c r="J254" i="46"/>
  <c r="K254" i="46" s="1"/>
  <c r="T165" i="46"/>
  <c r="K142" i="46"/>
  <c r="J275" i="46"/>
  <c r="J112" i="46"/>
  <c r="K112" i="46"/>
  <c r="T71" i="46"/>
  <c r="T107" i="46"/>
  <c r="T50" i="46"/>
  <c r="J143" i="46"/>
  <c r="K143" i="46" s="1"/>
  <c r="K212" i="46"/>
  <c r="K136" i="46"/>
  <c r="J236" i="46"/>
  <c r="J251" i="46"/>
  <c r="K251" i="46" s="1"/>
  <c r="T84" i="46"/>
  <c r="J142" i="46"/>
  <c r="K171" i="46"/>
  <c r="J83" i="46"/>
  <c r="K83" i="46"/>
  <c r="J186" i="46"/>
  <c r="K186" i="46"/>
  <c r="J274" i="46"/>
  <c r="K274" i="46" s="1"/>
  <c r="J216" i="46"/>
  <c r="K216" i="46"/>
  <c r="T188" i="46"/>
  <c r="J240" i="46"/>
  <c r="K240" i="46" s="1"/>
  <c r="K67" i="46"/>
  <c r="K145" i="46"/>
  <c r="T91" i="46"/>
  <c r="T95" i="46"/>
  <c r="P14" i="46"/>
  <c r="P278" i="46"/>
  <c r="T56" i="46"/>
  <c r="K24" i="46"/>
  <c r="J98" i="46"/>
  <c r="K98" i="46" s="1"/>
  <c r="K230" i="46"/>
  <c r="K166" i="46"/>
  <c r="J153" i="46"/>
  <c r="K153" i="46"/>
  <c r="K260" i="46"/>
  <c r="J145" i="46"/>
  <c r="K177" i="46"/>
  <c r="T97" i="46"/>
  <c r="T127" i="46"/>
  <c r="K86" i="46"/>
  <c r="T166" i="46"/>
  <c r="T260" i="46"/>
  <c r="T147" i="46"/>
  <c r="J245" i="46"/>
  <c r="K245" i="46" s="1"/>
  <c r="T227" i="46"/>
  <c r="O143" i="16"/>
  <c r="I35" i="8"/>
  <c r="H35" i="8"/>
  <c r="H144" i="17"/>
  <c r="G150" i="17"/>
  <c r="I9" i="17"/>
  <c r="I10" i="17" s="1"/>
  <c r="S240" i="16"/>
  <c r="AE268" i="16"/>
  <c r="AE269" i="16" s="1"/>
  <c r="AA121" i="17"/>
  <c r="AA122" i="17"/>
  <c r="AE129" i="17"/>
  <c r="AE130" i="17" s="1"/>
  <c r="AB47" i="17"/>
  <c r="AB48" i="17"/>
  <c r="AC47" i="17" s="1"/>
  <c r="G292" i="16"/>
  <c r="R102" i="17"/>
  <c r="M232" i="16"/>
  <c r="M233" i="16" s="1"/>
  <c r="AD35" i="8"/>
  <c r="F69" i="17"/>
  <c r="F6" i="17"/>
  <c r="T178" i="16"/>
  <c r="X40" i="17"/>
  <c r="G214" i="16"/>
  <c r="C23" i="7"/>
  <c r="C26" i="8" s="1"/>
  <c r="C35" i="8" s="1"/>
  <c r="I85" i="17"/>
  <c r="I86" i="17"/>
  <c r="J228" i="16"/>
  <c r="J229" i="16"/>
  <c r="I85" i="16"/>
  <c r="G82" i="17"/>
  <c r="AH136" i="17"/>
  <c r="AI135" i="17" s="1"/>
  <c r="Y117" i="17"/>
  <c r="Y118" i="17"/>
  <c r="R244" i="16"/>
  <c r="R245" i="16" s="1"/>
  <c r="AI131" i="16"/>
  <c r="L16" i="17"/>
  <c r="F150" i="17"/>
  <c r="M304" i="16"/>
  <c r="AG344" i="16"/>
  <c r="E360" i="16"/>
  <c r="E19" i="2" s="1"/>
  <c r="AI279" i="16"/>
  <c r="X35" i="8"/>
  <c r="Z115" i="16"/>
  <c r="AC120" i="16"/>
  <c r="AC121" i="16"/>
  <c r="O309" i="16"/>
  <c r="O310" i="16" s="1"/>
  <c r="AI348" i="16"/>
  <c r="X329" i="16"/>
  <c r="X330" i="16"/>
  <c r="T104" i="16"/>
  <c r="T105" i="16"/>
  <c r="O238" i="16"/>
  <c r="O239" i="16" s="1"/>
  <c r="X327" i="16"/>
  <c r="AB335" i="16"/>
  <c r="AB336" i="16" s="1"/>
  <c r="Q27" i="16"/>
  <c r="Q28" i="16" s="1"/>
  <c r="J87" i="17"/>
  <c r="G78" i="17"/>
  <c r="Z331" i="16"/>
  <c r="Z332" i="16"/>
  <c r="N236" i="16"/>
  <c r="N237" i="16" s="1"/>
  <c r="AD124" i="16"/>
  <c r="AD125" i="16" s="1"/>
  <c r="X328" i="16"/>
  <c r="Y43" i="16"/>
  <c r="Y44" i="16" s="1"/>
  <c r="E79" i="16"/>
  <c r="AE35" i="8"/>
  <c r="E211" i="16"/>
  <c r="G76" i="16"/>
  <c r="M163" i="16"/>
  <c r="M164" i="16" s="1"/>
  <c r="G9" i="16"/>
  <c r="G10" i="16" s="1"/>
  <c r="M20" i="16"/>
  <c r="M19" i="16"/>
  <c r="O23" i="16"/>
  <c r="O24" i="16"/>
  <c r="S31" i="16"/>
  <c r="S32" i="16" s="1"/>
  <c r="AE271" i="16"/>
  <c r="AE270" i="16"/>
  <c r="I87" i="17"/>
  <c r="I88" i="17" s="1"/>
  <c r="H84" i="17"/>
  <c r="I83" i="17" s="1"/>
  <c r="Q314" i="16"/>
  <c r="AF272" i="16"/>
  <c r="AF273" i="16" s="1"/>
  <c r="P95" i="16"/>
  <c r="Q94" i="16" s="1"/>
  <c r="K43" i="10"/>
  <c r="J52" i="10"/>
  <c r="X112" i="16"/>
  <c r="X113" i="16" s="1"/>
  <c r="AF59" i="16"/>
  <c r="AF60" i="16" s="1"/>
  <c r="AC337" i="16"/>
  <c r="AC338" i="16" s="1"/>
  <c r="AI205" i="16"/>
  <c r="AI206" i="16"/>
  <c r="V323" i="16"/>
  <c r="V324" i="16" s="1"/>
  <c r="W323" i="16" s="1"/>
  <c r="W324" i="16" s="1"/>
  <c r="Z45" i="16"/>
  <c r="Z46" i="16" s="1"/>
  <c r="Q312" i="16"/>
  <c r="R311" i="16" s="1"/>
  <c r="R29" i="16"/>
  <c r="R30" i="16" s="1"/>
  <c r="K301" i="16"/>
  <c r="K302" i="16" s="1"/>
  <c r="P96" i="16"/>
  <c r="P97" i="16" s="1"/>
  <c r="V321" i="16"/>
  <c r="V322" i="16"/>
  <c r="D27" i="8"/>
  <c r="D36" i="8" s="1"/>
  <c r="U37" i="16"/>
  <c r="U38" i="16"/>
  <c r="AF56" i="16"/>
  <c r="F7" i="2"/>
  <c r="F24" i="2"/>
  <c r="F35" i="2" s="1"/>
  <c r="P170" i="16"/>
  <c r="B49" i="17"/>
  <c r="U7" i="8"/>
  <c r="E18" i="34"/>
  <c r="E221" i="16"/>
  <c r="Z333" i="16"/>
  <c r="Z334" i="16"/>
  <c r="AA333" i="16"/>
  <c r="AG203" i="16"/>
  <c r="AG204" i="16"/>
  <c r="G15" i="9"/>
  <c r="F5" i="2"/>
  <c r="AH61" i="10"/>
  <c r="I300" i="16"/>
  <c r="T249" i="16"/>
  <c r="AA263" i="16"/>
  <c r="AB267" i="16"/>
  <c r="F10" i="9"/>
  <c r="G7" i="2"/>
  <c r="G13" i="2"/>
  <c r="G6" i="2"/>
  <c r="AC195" i="16"/>
  <c r="AC196" i="16"/>
  <c r="J159" i="16"/>
  <c r="J160" i="16" s="1"/>
  <c r="B43" i="17"/>
  <c r="B31" i="17"/>
  <c r="G6" i="16"/>
  <c r="S102" i="16"/>
  <c r="S103" i="16" s="1"/>
  <c r="G222" i="16"/>
  <c r="G223" i="16"/>
  <c r="AI207" i="16"/>
  <c r="AI208" i="16" s="1"/>
  <c r="X42" i="16"/>
  <c r="W255" i="16"/>
  <c r="F11" i="2"/>
  <c r="D24" i="7" s="1"/>
  <c r="V40" i="16"/>
  <c r="O61" i="10"/>
  <c r="AF201" i="16"/>
  <c r="AF202" i="16"/>
  <c r="G24" i="2"/>
  <c r="F13" i="2"/>
  <c r="Q169" i="16"/>
  <c r="H59" i="10"/>
  <c r="AB193" i="16"/>
  <c r="AB194" i="16" s="1"/>
  <c r="T195" i="46"/>
  <c r="K124" i="46"/>
  <c r="T124" i="46"/>
  <c r="J271" i="46"/>
  <c r="K271" i="46"/>
  <c r="T271" i="46"/>
  <c r="K205" i="46"/>
  <c r="T222" i="46"/>
  <c r="S45" i="46"/>
  <c r="J163" i="46"/>
  <c r="K163" i="46" s="1"/>
  <c r="I14" i="46"/>
  <c r="J45" i="46"/>
  <c r="K45" i="46"/>
  <c r="T140" i="46"/>
  <c r="J140" i="46"/>
  <c r="K140" i="46" s="1"/>
  <c r="K198" i="46"/>
  <c r="T258" i="46"/>
  <c r="J258" i="46"/>
  <c r="K258" i="46" s="1"/>
  <c r="K38" i="46"/>
  <c r="K66" i="46"/>
  <c r="T118" i="46"/>
  <c r="J183" i="46"/>
  <c r="T183" i="46"/>
  <c r="K183" i="46"/>
  <c r="J72" i="46"/>
  <c r="K72" i="46"/>
  <c r="T72" i="46"/>
  <c r="AE128" i="16"/>
  <c r="AE129" i="16"/>
  <c r="J124" i="46"/>
  <c r="T244" i="46"/>
  <c r="J244" i="46"/>
  <c r="K244" i="46" s="1"/>
  <c r="J28" i="46"/>
  <c r="K28" i="46"/>
  <c r="T193" i="46"/>
  <c r="K193" i="46"/>
  <c r="J85" i="46"/>
  <c r="K85" i="46" s="1"/>
  <c r="T85" i="46"/>
  <c r="T162" i="46"/>
  <c r="J162" i="46"/>
  <c r="K162" i="46" s="1"/>
  <c r="K22" i="46"/>
  <c r="T22" i="46"/>
  <c r="Y116" i="16"/>
  <c r="Y117" i="16" s="1"/>
  <c r="J115" i="46"/>
  <c r="K115" i="46" s="1"/>
  <c r="T115" i="46"/>
  <c r="S30" i="46"/>
  <c r="K30" i="46"/>
  <c r="K259" i="46"/>
  <c r="J155" i="46"/>
  <c r="K155" i="46" s="1"/>
  <c r="T155" i="46"/>
  <c r="J160" i="46"/>
  <c r="K160" i="46"/>
  <c r="J248" i="46"/>
  <c r="T248" i="46"/>
  <c r="K248" i="46"/>
  <c r="B38" i="29"/>
  <c r="B7" i="29" s="1"/>
  <c r="B9" i="29"/>
  <c r="B11" i="29"/>
  <c r="J127" i="46"/>
  <c r="K127" i="46"/>
  <c r="J227" i="46"/>
  <c r="K227" i="46" s="1"/>
  <c r="K135" i="46"/>
  <c r="J118" i="46"/>
  <c r="K118" i="46"/>
  <c r="J111" i="46"/>
  <c r="J65" i="46"/>
  <c r="K65" i="46" s="1"/>
  <c r="K105" i="46"/>
  <c r="S105" i="46"/>
  <c r="J34" i="46"/>
  <c r="K34" i="46" s="1"/>
  <c r="T131" i="46"/>
  <c r="K131" i="46"/>
  <c r="K214" i="46"/>
  <c r="K195" i="46"/>
  <c r="J25" i="46"/>
  <c r="K25" i="46"/>
  <c r="J228" i="46"/>
  <c r="K228" i="46"/>
  <c r="T163" i="46"/>
  <c r="T65" i="46"/>
  <c r="T135" i="46"/>
  <c r="J222" i="46"/>
  <c r="K222" i="46"/>
  <c r="J164" i="46"/>
  <c r="K164" i="46" s="1"/>
  <c r="T192" i="46"/>
  <c r="K192" i="46"/>
  <c r="S27" i="46"/>
  <c r="K27" i="46"/>
  <c r="J122" i="46"/>
  <c r="K122" i="46" s="1"/>
  <c r="T122" i="46"/>
  <c r="P7" i="44"/>
  <c r="R7" i="44"/>
  <c r="S7" i="44"/>
  <c r="K208" i="46"/>
  <c r="T63" i="46"/>
  <c r="K257" i="46"/>
  <c r="K220" i="46"/>
  <c r="K19" i="46"/>
  <c r="K179" i="46"/>
  <c r="K173" i="46"/>
  <c r="T199" i="46"/>
  <c r="K217" i="46"/>
  <c r="K40" i="46"/>
  <c r="K202" i="46"/>
  <c r="J36" i="46"/>
  <c r="K36" i="46"/>
  <c r="S38" i="46"/>
  <c r="T79" i="46"/>
  <c r="K167" i="46"/>
  <c r="T167" i="46"/>
  <c r="T66" i="46"/>
  <c r="K63" i="46"/>
  <c r="K194" i="46"/>
  <c r="I86" i="16"/>
  <c r="I87" i="16" s="1"/>
  <c r="K199" i="46"/>
  <c r="K87" i="46"/>
  <c r="K182" i="46"/>
  <c r="K119" i="46"/>
  <c r="K43" i="46"/>
  <c r="J114" i="46"/>
  <c r="K114" i="46" s="1"/>
  <c r="K126" i="46"/>
  <c r="K100" i="46"/>
  <c r="K236" i="46"/>
  <c r="S40" i="46"/>
  <c r="K180" i="46"/>
  <c r="T43" i="46"/>
  <c r="J167" i="46"/>
  <c r="K48" i="46"/>
  <c r="K261" i="46"/>
  <c r="J234" i="46"/>
  <c r="K234" i="46"/>
  <c r="K204" i="46"/>
  <c r="T198" i="46"/>
  <c r="K106" i="46"/>
  <c r="K59" i="46"/>
  <c r="K52" i="46"/>
  <c r="K275" i="46"/>
  <c r="P12" i="44"/>
  <c r="A322" i="16"/>
  <c r="A321" i="16"/>
  <c r="N25" i="17"/>
  <c r="N26" i="17"/>
  <c r="O25" i="17" s="1"/>
  <c r="O26" i="17" s="1"/>
  <c r="M24" i="10"/>
  <c r="N15" i="10"/>
  <c r="O15" i="10" s="1"/>
  <c r="AC54" i="16"/>
  <c r="S35" i="16"/>
  <c r="S36" i="16" s="1"/>
  <c r="P15" i="44"/>
  <c r="AG134" i="16"/>
  <c r="AG135" i="16" s="1"/>
  <c r="H13" i="16"/>
  <c r="H14" i="16" s="1"/>
  <c r="A149" i="16"/>
  <c r="A150" i="16"/>
  <c r="AF62" i="17"/>
  <c r="A82" i="16"/>
  <c r="A83" i="16"/>
  <c r="A320" i="16"/>
  <c r="A319" i="16"/>
  <c r="J16" i="16"/>
  <c r="A178" i="16"/>
  <c r="A177" i="16"/>
  <c r="A265" i="16"/>
  <c r="A264" i="16"/>
  <c r="A180" i="16"/>
  <c r="A179" i="16"/>
  <c r="T38" i="17"/>
  <c r="M22" i="17"/>
  <c r="M21" i="17"/>
  <c r="A138" i="16"/>
  <c r="A139" i="16"/>
  <c r="A197" i="16"/>
  <c r="A198" i="16"/>
  <c r="R34" i="16"/>
  <c r="R33" i="17"/>
  <c r="R34" i="17" s="1"/>
  <c r="A84" i="16"/>
  <c r="A85" i="16"/>
  <c r="A100" i="16"/>
  <c r="W43" i="17"/>
  <c r="W44" i="17" s="1"/>
  <c r="A110" i="16"/>
  <c r="A201" i="16"/>
  <c r="A202" i="16"/>
  <c r="A343" i="16"/>
  <c r="B41" i="16"/>
  <c r="B31" i="16"/>
  <c r="A154" i="16"/>
  <c r="A204" i="16"/>
  <c r="P61" i="10"/>
  <c r="J15" i="16"/>
  <c r="B39" i="16"/>
  <c r="AB53" i="17"/>
  <c r="AB54" i="17" s="1"/>
  <c r="AC53" i="17" s="1"/>
  <c r="A156" i="16"/>
  <c r="A317" i="16"/>
  <c r="C18" i="2"/>
  <c r="C23" i="2"/>
  <c r="C27" i="2" s="1"/>
  <c r="C29" i="2" s="1"/>
  <c r="A275" i="16"/>
  <c r="A274" i="16"/>
  <c r="AI362" i="16"/>
  <c r="AG33" i="29"/>
  <c r="Y34" i="8"/>
  <c r="AG34" i="8"/>
  <c r="B5" i="37"/>
  <c r="I153" i="43"/>
  <c r="J153" i="43" s="1"/>
  <c r="K153" i="43" s="1"/>
  <c r="I93" i="43"/>
  <c r="J93" i="43" s="1"/>
  <c r="I59" i="43"/>
  <c r="J59" i="43" s="1"/>
  <c r="K59" i="43" s="1"/>
  <c r="I48" i="43"/>
  <c r="J48" i="43" s="1"/>
  <c r="K48" i="43" s="1"/>
  <c r="I36" i="43"/>
  <c r="J36" i="43" s="1"/>
  <c r="K36" i="43" s="1"/>
  <c r="I210" i="43"/>
  <c r="J210" i="43" s="1"/>
  <c r="K210" i="43" s="1"/>
  <c r="I129" i="43"/>
  <c r="J129" i="43" s="1"/>
  <c r="K129" i="43" s="1"/>
  <c r="I21" i="43"/>
  <c r="J21" i="43" s="1"/>
  <c r="I178" i="43"/>
  <c r="J178" i="43" s="1"/>
  <c r="I134" i="43"/>
  <c r="J134" i="43" s="1"/>
  <c r="K134" i="43" s="1"/>
  <c r="I90" i="43"/>
  <c r="J90" i="43" s="1"/>
  <c r="K90" i="43" s="1"/>
  <c r="I197" i="43"/>
  <c r="J197" i="43" s="1"/>
  <c r="I183" i="43"/>
  <c r="J183" i="43" s="1"/>
  <c r="K183" i="43" s="1"/>
  <c r="I94" i="43"/>
  <c r="J94" i="43" s="1"/>
  <c r="K94" i="43" s="1"/>
  <c r="I82" i="43"/>
  <c r="J82" i="43" s="1"/>
  <c r="I68" i="43"/>
  <c r="I236" i="43"/>
  <c r="N33" i="8"/>
  <c r="W33" i="29"/>
  <c r="G150" i="43"/>
  <c r="G231" i="43"/>
  <c r="Z33" i="29"/>
  <c r="G33" i="29"/>
  <c r="AF33" i="29"/>
  <c r="X33" i="29"/>
  <c r="AD33" i="29"/>
  <c r="AC33" i="29"/>
  <c r="AB33" i="29"/>
  <c r="AA33" i="29"/>
  <c r="N34" i="8"/>
  <c r="AA33" i="8"/>
  <c r="AE33" i="29"/>
  <c r="G98" i="46"/>
  <c r="G250" i="46"/>
  <c r="S11" i="46"/>
  <c r="J9" i="17"/>
  <c r="J10" i="17" s="1"/>
  <c r="AE124" i="16"/>
  <c r="AE125" i="16"/>
  <c r="AF129" i="17"/>
  <c r="AB121" i="17"/>
  <c r="AB122" i="17"/>
  <c r="AA42" i="17"/>
  <c r="T31" i="16"/>
  <c r="T32" i="16" s="1"/>
  <c r="N163" i="16"/>
  <c r="N164" i="16" s="1"/>
  <c r="Z116" i="16"/>
  <c r="Z117" i="16" s="1"/>
  <c r="AG201" i="16"/>
  <c r="AG202" i="16" s="1"/>
  <c r="AG59" i="16"/>
  <c r="AG60" i="16" s="1"/>
  <c r="P238" i="16"/>
  <c r="P239" i="16" s="1"/>
  <c r="Q238" i="16" s="1"/>
  <c r="S244" i="16"/>
  <c r="AF268" i="16"/>
  <c r="AF269" i="16" s="1"/>
  <c r="H222" i="16"/>
  <c r="AH203" i="16"/>
  <c r="AH204" i="16"/>
  <c r="AA331" i="16"/>
  <c r="U104" i="16"/>
  <c r="U105" i="16"/>
  <c r="AD195" i="16"/>
  <c r="AD196" i="16" s="1"/>
  <c r="W321" i="16"/>
  <c r="AD337" i="16"/>
  <c r="AD338" i="16" s="1"/>
  <c r="N232" i="16"/>
  <c r="N233" i="16"/>
  <c r="AC48" i="17"/>
  <c r="H9" i="16"/>
  <c r="H10" i="16" s="1"/>
  <c r="Z117" i="17"/>
  <c r="Z118" i="17"/>
  <c r="AF128" i="16"/>
  <c r="AA45" i="16"/>
  <c r="AA46" i="16" s="1"/>
  <c r="AB45" i="16" s="1"/>
  <c r="AG272" i="16"/>
  <c r="AG273" i="16" s="1"/>
  <c r="J86" i="17"/>
  <c r="J85" i="17"/>
  <c r="E10" i="8"/>
  <c r="G35" i="2"/>
  <c r="U248" i="16"/>
  <c r="U249" i="16"/>
  <c r="L301" i="16"/>
  <c r="L302" i="16" s="1"/>
  <c r="Y112" i="16"/>
  <c r="Y113" i="16" s="1"/>
  <c r="AF270" i="16"/>
  <c r="AF271" i="16"/>
  <c r="Y327" i="16"/>
  <c r="Y328" i="16" s="1"/>
  <c r="N303" i="16"/>
  <c r="N304" i="16" s="1"/>
  <c r="J84" i="16"/>
  <c r="J85" i="16" s="1"/>
  <c r="Y39" i="17"/>
  <c r="Y40" i="17" s="1"/>
  <c r="N21" i="17"/>
  <c r="N22" i="17"/>
  <c r="O21" i="17" s="1"/>
  <c r="O22" i="17" s="1"/>
  <c r="AG7" i="8"/>
  <c r="AG10" i="15"/>
  <c r="S33" i="16"/>
  <c r="S34" i="16"/>
  <c r="T34" i="16" s="1"/>
  <c r="AC193" i="16"/>
  <c r="AC194" i="16" s="1"/>
  <c r="H5" i="16"/>
  <c r="G5" i="2"/>
  <c r="J299" i="16"/>
  <c r="J300" i="16" s="1"/>
  <c r="K299" i="16" s="1"/>
  <c r="Q170" i="16"/>
  <c r="AA114" i="16"/>
  <c r="AA115" i="16" s="1"/>
  <c r="K15" i="16"/>
  <c r="K16" i="16"/>
  <c r="S29" i="16"/>
  <c r="S30" i="16" s="1"/>
  <c r="Q95" i="16"/>
  <c r="P309" i="16"/>
  <c r="P310" i="16"/>
  <c r="Q310" i="16" s="1"/>
  <c r="M15" i="17"/>
  <c r="M16" i="17"/>
  <c r="S101" i="17"/>
  <c r="J68" i="43"/>
  <c r="K68" i="43" s="1"/>
  <c r="B31" i="37"/>
  <c r="B41" i="37"/>
  <c r="B43" i="37"/>
  <c r="B37" i="37"/>
  <c r="B30" i="37"/>
  <c r="B42" i="37"/>
  <c r="B32" i="37"/>
  <c r="B34" i="37"/>
  <c r="B35" i="37"/>
  <c r="B33" i="37"/>
  <c r="B36" i="37"/>
  <c r="B29" i="37"/>
  <c r="AG61" i="17"/>
  <c r="AG62" i="17" s="1"/>
  <c r="I84" i="17"/>
  <c r="J83" i="17" s="1"/>
  <c r="J84" i="17" s="1"/>
  <c r="R27" i="16"/>
  <c r="R28" i="16" s="1"/>
  <c r="K228" i="16"/>
  <c r="K229" i="16" s="1"/>
  <c r="AD53" i="16"/>
  <c r="AD54" i="16" s="1"/>
  <c r="N24" i="10"/>
  <c r="Q7" i="46"/>
  <c r="I278" i="46"/>
  <c r="P7" i="46"/>
  <c r="D10" i="8"/>
  <c r="B13" i="29"/>
  <c r="B17" i="29" s="1"/>
  <c r="B19" i="29" s="1"/>
  <c r="AI136" i="17"/>
  <c r="P143" i="16"/>
  <c r="AF72" i="17"/>
  <c r="W40" i="16"/>
  <c r="W39" i="16"/>
  <c r="T102" i="16"/>
  <c r="T103" i="16" s="1"/>
  <c r="D13" i="15"/>
  <c r="D12" i="15"/>
  <c r="D8" i="7"/>
  <c r="D22" i="8" s="1"/>
  <c r="D43" i="29"/>
  <c r="J88" i="17"/>
  <c r="P23" i="16"/>
  <c r="P24" i="16"/>
  <c r="E141" i="16"/>
  <c r="F78" i="16"/>
  <c r="F79" i="16" s="1"/>
  <c r="F140" i="16"/>
  <c r="O236" i="16"/>
  <c r="O237" i="16" s="1"/>
  <c r="Y329" i="16"/>
  <c r="Y330" i="16" s="1"/>
  <c r="AD120" i="16"/>
  <c r="AD121" i="16" s="1"/>
  <c r="M25" i="10"/>
  <c r="H10" i="2"/>
  <c r="H16" i="2"/>
  <c r="F8" i="15" s="1"/>
  <c r="F3" i="15" s="1"/>
  <c r="H6" i="2"/>
  <c r="H5" i="2"/>
  <c r="H13" i="2"/>
  <c r="G10" i="9"/>
  <c r="I10" i="2" s="1"/>
  <c r="H24" i="2"/>
  <c r="H11" i="2"/>
  <c r="H15" i="2"/>
  <c r="H7" i="2"/>
  <c r="H14" i="2"/>
  <c r="F18" i="34"/>
  <c r="H15" i="9"/>
  <c r="G31" i="29"/>
  <c r="G32" i="29" s="1"/>
  <c r="AA334" i="16"/>
  <c r="H214" i="16"/>
  <c r="U177" i="16"/>
  <c r="U178" i="16" s="1"/>
  <c r="K111" i="46"/>
  <c r="X254" i="16"/>
  <c r="F220" i="16"/>
  <c r="F221" i="16" s="1"/>
  <c r="E283" i="16"/>
  <c r="AG55" i="16"/>
  <c r="AG56" i="16" s="1"/>
  <c r="G5" i="17"/>
  <c r="F70" i="17"/>
  <c r="H291" i="16"/>
  <c r="I144" i="17"/>
  <c r="H150" i="17"/>
  <c r="V37" i="16"/>
  <c r="V38" i="16" s="1"/>
  <c r="Q96" i="16"/>
  <c r="Q97" i="16" s="1"/>
  <c r="J59" i="10"/>
  <c r="R313" i="16"/>
  <c r="R314" i="16" s="1"/>
  <c r="N19" i="16"/>
  <c r="N20" i="16" s="1"/>
  <c r="O19" i="16" s="1"/>
  <c r="Z43" i="16"/>
  <c r="Z44" i="16"/>
  <c r="AA43" i="16" s="1"/>
  <c r="H81" i="17"/>
  <c r="F147" i="17"/>
  <c r="L12" i="16"/>
  <c r="M11" i="16" s="1"/>
  <c r="Y41" i="16"/>
  <c r="Y42" i="16" s="1"/>
  <c r="K160" i="16"/>
  <c r="K159" i="16"/>
  <c r="AC266" i="16"/>
  <c r="G14" i="46"/>
  <c r="H250" i="46"/>
  <c r="H98" i="46"/>
  <c r="AC54" i="17"/>
  <c r="AD54" i="17" s="1"/>
  <c r="U37" i="17"/>
  <c r="U38" i="17"/>
  <c r="AB262" i="16"/>
  <c r="AB263" i="16" s="1"/>
  <c r="R312" i="16"/>
  <c r="K52" i="10"/>
  <c r="L43" i="10"/>
  <c r="G77" i="16"/>
  <c r="H77" i="17"/>
  <c r="AH343" i="16"/>
  <c r="AH344" i="16" s="1"/>
  <c r="AI343" i="16" s="1"/>
  <c r="AC119" i="17"/>
  <c r="AC120" i="17" s="1"/>
  <c r="S311" i="16"/>
  <c r="S312" i="16" s="1"/>
  <c r="L15" i="16"/>
  <c r="L16" i="16" s="1"/>
  <c r="AC121" i="17"/>
  <c r="AC122" i="17" s="1"/>
  <c r="AI344" i="16"/>
  <c r="AC262" i="16"/>
  <c r="Q23" i="16"/>
  <c r="Q24" i="16"/>
  <c r="N15" i="17"/>
  <c r="N16" i="17"/>
  <c r="K300" i="16"/>
  <c r="AB46" i="16"/>
  <c r="AA116" i="16"/>
  <c r="AA117" i="17"/>
  <c r="AA118" i="17" s="1"/>
  <c r="Q239" i="16"/>
  <c r="T33" i="16"/>
  <c r="AD53" i="17"/>
  <c r="AE53" i="16"/>
  <c r="M12" i="16"/>
  <c r="L228" i="16"/>
  <c r="T29" i="16"/>
  <c r="T30" i="16"/>
  <c r="AD47" i="17"/>
  <c r="AD48" i="17" s="1"/>
  <c r="S27" i="16"/>
  <c r="AB114" i="16"/>
  <c r="L160" i="16"/>
  <c r="L159" i="16"/>
  <c r="AA44" i="16"/>
  <c r="AB44" i="16" s="1"/>
  <c r="F10" i="8"/>
  <c r="H35" i="2"/>
  <c r="AH62" i="17"/>
  <c r="AH61" i="17"/>
  <c r="K84" i="16"/>
  <c r="K85" i="16"/>
  <c r="L84" i="16" s="1"/>
  <c r="AG271" i="16"/>
  <c r="AG270" i="16"/>
  <c r="V248" i="16"/>
  <c r="V249" i="16" s="1"/>
  <c r="AE337" i="16"/>
  <c r="AE338" i="16"/>
  <c r="V104" i="16"/>
  <c r="V105" i="16" s="1"/>
  <c r="AI203" i="16"/>
  <c r="AG269" i="16"/>
  <c r="AG268" i="16"/>
  <c r="AH201" i="16"/>
  <c r="AH202" i="16"/>
  <c r="AB41" i="17"/>
  <c r="AB42" i="17" s="1"/>
  <c r="D31" i="8"/>
  <c r="W37" i="16"/>
  <c r="W38" i="16"/>
  <c r="X37" i="16" s="1"/>
  <c r="AB333" i="16"/>
  <c r="AB334" i="16"/>
  <c r="K87" i="17"/>
  <c r="K88" i="17" s="1"/>
  <c r="L87" i="17" s="1"/>
  <c r="X39" i="16"/>
  <c r="X40" i="16"/>
  <c r="Y39" i="16" s="1"/>
  <c r="Q309" i="16"/>
  <c r="H91" i="46"/>
  <c r="H261" i="46"/>
  <c r="H233" i="46"/>
  <c r="H259" i="46"/>
  <c r="H275" i="46"/>
  <c r="H148" i="46"/>
  <c r="H214" i="46"/>
  <c r="H32" i="46"/>
  <c r="G278" i="46"/>
  <c r="H272" i="46"/>
  <c r="H127" i="46"/>
  <c r="H116" i="46"/>
  <c r="H139" i="46"/>
  <c r="H221" i="46"/>
  <c r="H231" i="46"/>
  <c r="H256" i="46"/>
  <c r="H120" i="46"/>
  <c r="H228" i="46"/>
  <c r="H234" i="46"/>
  <c r="H247" i="46"/>
  <c r="H68" i="46"/>
  <c r="H69" i="46"/>
  <c r="H190" i="46"/>
  <c r="H76" i="46"/>
  <c r="H33" i="46"/>
  <c r="H179" i="46"/>
  <c r="H241" i="46"/>
  <c r="H65" i="46"/>
  <c r="H83" i="46"/>
  <c r="H27" i="46"/>
  <c r="H93" i="46"/>
  <c r="H258" i="46"/>
  <c r="H226" i="46"/>
  <c r="H41" i="46"/>
  <c r="H80" i="46"/>
  <c r="H45" i="46"/>
  <c r="H20" i="46"/>
  <c r="H194" i="46"/>
  <c r="H46" i="46"/>
  <c r="H82" i="46"/>
  <c r="H19" i="46"/>
  <c r="H14" i="46" s="1"/>
  <c r="H141" i="46"/>
  <c r="H50" i="46"/>
  <c r="H87" i="46"/>
  <c r="H62" i="46"/>
  <c r="H111" i="46"/>
  <c r="H35" i="46"/>
  <c r="H25" i="46"/>
  <c r="H178" i="46"/>
  <c r="H133" i="46"/>
  <c r="H123" i="46"/>
  <c r="H49" i="46"/>
  <c r="H85" i="46"/>
  <c r="H174" i="46"/>
  <c r="H142" i="46"/>
  <c r="H113" i="46"/>
  <c r="H97" i="46"/>
  <c r="H177" i="46"/>
  <c r="H75" i="46"/>
  <c r="H198" i="46"/>
  <c r="H54" i="46"/>
  <c r="H26" i="46"/>
  <c r="H176" i="46"/>
  <c r="H244" i="46"/>
  <c r="H204" i="46"/>
  <c r="H109" i="46"/>
  <c r="H108" i="46"/>
  <c r="H274" i="46"/>
  <c r="H43" i="46"/>
  <c r="H182" i="46"/>
  <c r="H273" i="46"/>
  <c r="H230" i="46"/>
  <c r="H125" i="46"/>
  <c r="H268" i="46"/>
  <c r="H206" i="46"/>
  <c r="H143" i="46"/>
  <c r="H192" i="46"/>
  <c r="H30" i="46"/>
  <c r="H101" i="46"/>
  <c r="H205" i="46"/>
  <c r="H202" i="46"/>
  <c r="H227" i="46"/>
  <c r="H172" i="46"/>
  <c r="H100" i="46"/>
  <c r="H121" i="46"/>
  <c r="H167" i="46"/>
  <c r="H71" i="46"/>
  <c r="H140" i="46"/>
  <c r="H180" i="46"/>
  <c r="H209" i="46"/>
  <c r="H201" i="46"/>
  <c r="H96" i="46"/>
  <c r="H260" i="46"/>
  <c r="H243" i="46"/>
  <c r="H126" i="46"/>
  <c r="H224" i="46"/>
  <c r="H151" i="46"/>
  <c r="H86" i="46"/>
  <c r="H188" i="46"/>
  <c r="H128" i="46"/>
  <c r="H271" i="46"/>
  <c r="H165" i="46"/>
  <c r="H160" i="46"/>
  <c r="H154" i="46"/>
  <c r="H145" i="46"/>
  <c r="H118" i="46"/>
  <c r="H229" i="46"/>
  <c r="H156" i="46"/>
  <c r="H238" i="46"/>
  <c r="H138" i="46"/>
  <c r="H248" i="46"/>
  <c r="H104" i="46"/>
  <c r="H200" i="46"/>
  <c r="H130" i="46"/>
  <c r="H211" i="46"/>
  <c r="H22" i="46"/>
  <c r="H170" i="46"/>
  <c r="H217" i="46"/>
  <c r="H115" i="46"/>
  <c r="H78" i="46"/>
  <c r="H66" i="46"/>
  <c r="H106" i="46"/>
  <c r="H195" i="46"/>
  <c r="H255" i="46"/>
  <c r="H181" i="46"/>
  <c r="H103" i="46"/>
  <c r="H267" i="46"/>
  <c r="H150" i="46"/>
  <c r="H149" i="46"/>
  <c r="H162" i="46"/>
  <c r="H34" i="46"/>
  <c r="H94" i="46"/>
  <c r="H185" i="46"/>
  <c r="H196" i="46"/>
  <c r="H36" i="46"/>
  <c r="H122" i="46"/>
  <c r="H70" i="46"/>
  <c r="H24" i="46"/>
  <c r="H240" i="46"/>
  <c r="H183" i="46"/>
  <c r="H252" i="46"/>
  <c r="H161" i="46"/>
  <c r="H79" i="46"/>
  <c r="H99" i="46"/>
  <c r="H223" i="46"/>
  <c r="H119" i="46"/>
  <c r="H74" i="46"/>
  <c r="H213" i="46"/>
  <c r="H262" i="46"/>
  <c r="H52" i="46"/>
  <c r="H48" i="46"/>
  <c r="H144" i="46"/>
  <c r="H163" i="46"/>
  <c r="H168" i="46"/>
  <c r="H117" i="46"/>
  <c r="H67" i="46"/>
  <c r="H92" i="46"/>
  <c r="H105" i="46"/>
  <c r="H23" i="46"/>
  <c r="H153" i="46"/>
  <c r="H242" i="46"/>
  <c r="H64" i="46"/>
  <c r="H39" i="46"/>
  <c r="H269" i="46"/>
  <c r="H58" i="46"/>
  <c r="H175" i="46"/>
  <c r="H53" i="46"/>
  <c r="H199" i="46"/>
  <c r="H263" i="46"/>
  <c r="H270" i="46"/>
  <c r="H164" i="46"/>
  <c r="H136" i="46"/>
  <c r="H38" i="46"/>
  <c r="H169" i="46"/>
  <c r="H57" i="46"/>
  <c r="H186" i="46"/>
  <c r="H246" i="46"/>
  <c r="H55" i="46"/>
  <c r="H56" i="46"/>
  <c r="H249" i="46"/>
  <c r="H254" i="46"/>
  <c r="H219" i="46"/>
  <c r="H42" i="46"/>
  <c r="H31" i="46"/>
  <c r="H218" i="46"/>
  <c r="H21" i="46"/>
  <c r="H191" i="46"/>
  <c r="H208" i="46"/>
  <c r="H110" i="46"/>
  <c r="H232" i="46"/>
  <c r="H47" i="46"/>
  <c r="H147" i="46"/>
  <c r="H193" i="46"/>
  <c r="H157" i="46"/>
  <c r="H158" i="46"/>
  <c r="H173" i="46"/>
  <c r="H132" i="46"/>
  <c r="H251" i="46"/>
  <c r="H146" i="46"/>
  <c r="H225" i="46"/>
  <c r="H90" i="46"/>
  <c r="H60" i="46"/>
  <c r="H28" i="46"/>
  <c r="H159" i="46"/>
  <c r="H207" i="46"/>
  <c r="H212" i="46"/>
  <c r="H197" i="46"/>
  <c r="H37" i="46"/>
  <c r="H266" i="46"/>
  <c r="H222" i="46"/>
  <c r="H253" i="46"/>
  <c r="H61" i="46"/>
  <c r="H88" i="46"/>
  <c r="H215" i="46"/>
  <c r="H216" i="46"/>
  <c r="H257" i="46"/>
  <c r="H184" i="46"/>
  <c r="H89" i="46"/>
  <c r="H134" i="46"/>
  <c r="H63" i="46"/>
  <c r="H51" i="46"/>
  <c r="H77" i="46"/>
  <c r="H107" i="46"/>
  <c r="H264" i="46"/>
  <c r="H59" i="46"/>
  <c r="H81" i="46"/>
  <c r="H131" i="46"/>
  <c r="H73" i="46"/>
  <c r="H135" i="46"/>
  <c r="H137" i="46"/>
  <c r="H236" i="46"/>
  <c r="H72" i="46"/>
  <c r="H210" i="46"/>
  <c r="H166" i="46"/>
  <c r="H189" i="46"/>
  <c r="H265" i="46"/>
  <c r="H235" i="46"/>
  <c r="H237" i="46"/>
  <c r="H44" i="46"/>
  <c r="H95" i="46"/>
  <c r="H124" i="46"/>
  <c r="H102" i="46"/>
  <c r="H245" i="46"/>
  <c r="H84" i="46"/>
  <c r="H155" i="46"/>
  <c r="H152" i="46"/>
  <c r="H171" i="46"/>
  <c r="H112" i="46"/>
  <c r="H239" i="46"/>
  <c r="H129" i="46"/>
  <c r="H187" i="46"/>
  <c r="H40" i="46"/>
  <c r="H220" i="46"/>
  <c r="H203" i="46"/>
  <c r="H114" i="46"/>
  <c r="H29" i="46"/>
  <c r="G6" i="17"/>
  <c r="I13" i="2"/>
  <c r="I16" i="2"/>
  <c r="I14" i="2"/>
  <c r="I24" i="2"/>
  <c r="H10" i="9"/>
  <c r="I11" i="2"/>
  <c r="G24" i="7" s="1"/>
  <c r="G27" i="8" s="1"/>
  <c r="I7" i="2"/>
  <c r="I6" i="2"/>
  <c r="I5" i="2"/>
  <c r="H78" i="17"/>
  <c r="H292" i="16"/>
  <c r="I214" i="16"/>
  <c r="G18" i="34"/>
  <c r="I15" i="9"/>
  <c r="H31" i="29"/>
  <c r="H32" i="29" s="1"/>
  <c r="N25" i="10"/>
  <c r="B38" i="37"/>
  <c r="B45" i="37" s="1"/>
  <c r="E13" i="15"/>
  <c r="E12" i="15"/>
  <c r="E8" i="7" s="1"/>
  <c r="E43" i="29"/>
  <c r="C45" i="29" s="1"/>
  <c r="O163" i="16"/>
  <c r="AF124" i="16"/>
  <c r="AF125" i="16"/>
  <c r="O303" i="16"/>
  <c r="O304" i="16" s="1"/>
  <c r="P303" i="16" s="1"/>
  <c r="F43" i="29"/>
  <c r="F13" i="15"/>
  <c r="F12" i="15"/>
  <c r="F8" i="7" s="1"/>
  <c r="F22" i="8" s="1"/>
  <c r="G78" i="16"/>
  <c r="F141" i="16"/>
  <c r="O24" i="10"/>
  <c r="P15" i="10"/>
  <c r="R94" i="16"/>
  <c r="R95" i="16" s="1"/>
  <c r="H76" i="16"/>
  <c r="H77" i="16" s="1"/>
  <c r="AG72" i="17"/>
  <c r="H6" i="16"/>
  <c r="F24" i="7"/>
  <c r="F27" i="8"/>
  <c r="U103" i="16"/>
  <c r="U102" i="16"/>
  <c r="Z327" i="16"/>
  <c r="Z328" i="16"/>
  <c r="AA327" i="16" s="1"/>
  <c r="K85" i="17"/>
  <c r="K86" i="17" s="1"/>
  <c r="I9" i="16"/>
  <c r="I10" i="16" s="1"/>
  <c r="J9" i="16" s="1"/>
  <c r="O232" i="16"/>
  <c r="O233" i="16" s="1"/>
  <c r="P232" i="16" s="1"/>
  <c r="U31" i="16"/>
  <c r="U32" i="16" s="1"/>
  <c r="V37" i="17"/>
  <c r="V38" i="17"/>
  <c r="K59" i="10"/>
  <c r="Z39" i="17"/>
  <c r="Z40" i="17"/>
  <c r="M301" i="16"/>
  <c r="M302" i="16"/>
  <c r="AH272" i="16"/>
  <c r="AH273" i="16" s="1"/>
  <c r="X324" i="16"/>
  <c r="Y323" i="16" s="1"/>
  <c r="Y324" i="16" s="1"/>
  <c r="X323" i="16"/>
  <c r="M43" i="10"/>
  <c r="L52" i="10"/>
  <c r="I150" i="17"/>
  <c r="J144" i="17"/>
  <c r="G221" i="16"/>
  <c r="H220" i="16" s="1"/>
  <c r="G220" i="16"/>
  <c r="P25" i="17"/>
  <c r="P26" i="17" s="1"/>
  <c r="Q143" i="16"/>
  <c r="R170" i="16"/>
  <c r="R169" i="16"/>
  <c r="P304" i="16"/>
  <c r="Q303" i="16" s="1"/>
  <c r="L85" i="17"/>
  <c r="L85" i="16"/>
  <c r="AB43" i="16"/>
  <c r="L88" i="17"/>
  <c r="W104" i="16"/>
  <c r="W105" i="16" s="1"/>
  <c r="P21" i="17"/>
  <c r="P22" i="17" s="1"/>
  <c r="S94" i="16"/>
  <c r="O15" i="17"/>
  <c r="O16" i="17" s="1"/>
  <c r="AI201" i="16"/>
  <c r="AI202" i="16"/>
  <c r="W248" i="16"/>
  <c r="W249" i="16" s="1"/>
  <c r="U33" i="16"/>
  <c r="U34" i="16" s="1"/>
  <c r="AC333" i="16"/>
  <c r="AC334" i="16"/>
  <c r="AC42" i="17"/>
  <c r="AC41" i="17"/>
  <c r="AF337" i="16"/>
  <c r="AF338" i="16" s="1"/>
  <c r="AG337" i="16" s="1"/>
  <c r="AI272" i="16"/>
  <c r="AE53" i="17"/>
  <c r="AE54" i="17" s="1"/>
  <c r="R238" i="16"/>
  <c r="R239" i="16"/>
  <c r="U29" i="16"/>
  <c r="U30" i="16"/>
  <c r="N11" i="16"/>
  <c r="AA328" i="16"/>
  <c r="X38" i="16"/>
  <c r="AC45" i="16"/>
  <c r="AC46" i="16" s="1"/>
  <c r="AD45" i="16" s="1"/>
  <c r="R309" i="16"/>
  <c r="R310" i="16"/>
  <c r="AH268" i="16"/>
  <c r="AH269" i="16" s="1"/>
  <c r="L300" i="16"/>
  <c r="L299" i="16"/>
  <c r="M15" i="16"/>
  <c r="M16" i="16" s="1"/>
  <c r="I6" i="16"/>
  <c r="I5" i="16"/>
  <c r="G79" i="16"/>
  <c r="E22" i="8"/>
  <c r="M159" i="16"/>
  <c r="M160" i="16"/>
  <c r="N159" i="16" s="1"/>
  <c r="AB117" i="17"/>
  <c r="AB118" i="17" s="1"/>
  <c r="K83" i="17"/>
  <c r="K84" i="17"/>
  <c r="L84" i="17" s="1"/>
  <c r="T311" i="16"/>
  <c r="J15" i="9"/>
  <c r="I18" i="34" s="1"/>
  <c r="H18" i="34"/>
  <c r="I31" i="29"/>
  <c r="I32" i="29"/>
  <c r="J11" i="2"/>
  <c r="I10" i="9"/>
  <c r="K13" i="2" s="1"/>
  <c r="J16" i="2"/>
  <c r="H8" i="15"/>
  <c r="H3" i="15"/>
  <c r="J14" i="2"/>
  <c r="J24" i="2"/>
  <c r="J7" i="2"/>
  <c r="J13" i="2"/>
  <c r="J10" i="2"/>
  <c r="J6" i="2"/>
  <c r="J15" i="2"/>
  <c r="R143" i="16"/>
  <c r="S143" i="16" s="1"/>
  <c r="P24" i="10"/>
  <c r="P25" i="10" s="1"/>
  <c r="Q15" i="10"/>
  <c r="J214" i="16"/>
  <c r="G10" i="8"/>
  <c r="I35" i="2"/>
  <c r="AG124" i="16"/>
  <c r="AG125" i="16"/>
  <c r="AH125" i="16" s="1"/>
  <c r="AI124" i="16" s="1"/>
  <c r="M52" i="10"/>
  <c r="N43" i="10"/>
  <c r="N301" i="16"/>
  <c r="N302" i="16"/>
  <c r="O25" i="10"/>
  <c r="I291" i="16"/>
  <c r="I292" i="16" s="1"/>
  <c r="P233" i="16"/>
  <c r="J150" i="17"/>
  <c r="K144" i="17"/>
  <c r="L59" i="10"/>
  <c r="V31" i="16"/>
  <c r="V32" i="16"/>
  <c r="AH72" i="17"/>
  <c r="H5" i="17"/>
  <c r="H6" i="17" s="1"/>
  <c r="H278" i="46"/>
  <c r="S169" i="16"/>
  <c r="AA39" i="17"/>
  <c r="V102" i="16"/>
  <c r="V103" i="16" s="1"/>
  <c r="W102" i="16" s="1"/>
  <c r="F31" i="8"/>
  <c r="G13" i="15"/>
  <c r="G12" i="15" s="1"/>
  <c r="G8" i="7" s="1"/>
  <c r="G22" i="8" s="1"/>
  <c r="G31" i="8" s="1"/>
  <c r="G43" i="29"/>
  <c r="AH270" i="16"/>
  <c r="AH271" i="16"/>
  <c r="AI61" i="17"/>
  <c r="AI62" i="17" s="1"/>
  <c r="AE47" i="17"/>
  <c r="AE48" i="17"/>
  <c r="AF47" i="17" s="1"/>
  <c r="R23" i="16"/>
  <c r="R24" i="16" s="1"/>
  <c r="AD121" i="17"/>
  <c r="AD122" i="17"/>
  <c r="AE122" i="17" s="1"/>
  <c r="I77" i="17"/>
  <c r="I78" i="17"/>
  <c r="P15" i="17"/>
  <c r="AC117" i="17"/>
  <c r="AC118" i="17" s="1"/>
  <c r="AD117" i="17" s="1"/>
  <c r="N160" i="16"/>
  <c r="S309" i="16"/>
  <c r="S310" i="16" s="1"/>
  <c r="AB327" i="16"/>
  <c r="AB328" i="16" s="1"/>
  <c r="AC327" i="16" s="1"/>
  <c r="L83" i="17"/>
  <c r="AE121" i="17"/>
  <c r="AD46" i="16"/>
  <c r="AD333" i="16"/>
  <c r="AD334" i="16"/>
  <c r="S23" i="16"/>
  <c r="N15" i="16"/>
  <c r="N16" i="16" s="1"/>
  <c r="S238" i="16"/>
  <c r="AI268" i="16"/>
  <c r="AI269" i="16"/>
  <c r="O301" i="16"/>
  <c r="AH124" i="16"/>
  <c r="V29" i="16"/>
  <c r="V30" i="16" s="1"/>
  <c r="AF53" i="17"/>
  <c r="AF54" i="17" s="1"/>
  <c r="AG338" i="16"/>
  <c r="V33" i="16"/>
  <c r="V34" i="16"/>
  <c r="X104" i="16"/>
  <c r="X105" i="16" s="1"/>
  <c r="AC43" i="16"/>
  <c r="AC44" i="16" s="1"/>
  <c r="K214" i="16"/>
  <c r="H78" i="16"/>
  <c r="H79" i="16"/>
  <c r="I78" i="16" s="1"/>
  <c r="W31" i="16"/>
  <c r="Q232" i="16"/>
  <c r="Q233" i="16"/>
  <c r="M59" i="10"/>
  <c r="Q24" i="10"/>
  <c r="R15" i="10"/>
  <c r="M84" i="16"/>
  <c r="M85" i="16" s="1"/>
  <c r="Q304" i="16"/>
  <c r="H10" i="8"/>
  <c r="J35" i="2"/>
  <c r="H221" i="16"/>
  <c r="AD42" i="17"/>
  <c r="AE41" i="17" s="1"/>
  <c r="AE42" i="17" s="1"/>
  <c r="AD41" i="17"/>
  <c r="AI72" i="17"/>
  <c r="J5" i="16"/>
  <c r="M299" i="16"/>
  <c r="M300" i="16"/>
  <c r="N299" i="16" s="1"/>
  <c r="M87" i="17"/>
  <c r="M88" i="17" s="1"/>
  <c r="N87" i="17" s="1"/>
  <c r="X248" i="16"/>
  <c r="Z323" i="16"/>
  <c r="Z324" i="16"/>
  <c r="Q21" i="17"/>
  <c r="Q22" i="17" s="1"/>
  <c r="R21" i="17" s="1"/>
  <c r="AI270" i="16"/>
  <c r="AI271" i="16" s="1"/>
  <c r="W103" i="16"/>
  <c r="X103" i="16" s="1"/>
  <c r="L144" i="17"/>
  <c r="K150" i="17"/>
  <c r="K14" i="2"/>
  <c r="K15" i="2"/>
  <c r="K24" i="2"/>
  <c r="K7" i="2"/>
  <c r="K6" i="2"/>
  <c r="K16" i="2"/>
  <c r="I8" i="15"/>
  <c r="I3" i="15" s="1"/>
  <c r="K11" i="2"/>
  <c r="K10" i="2"/>
  <c r="J10" i="9"/>
  <c r="J31" i="29"/>
  <c r="J32" i="29"/>
  <c r="K15" i="9"/>
  <c r="Y37" i="16"/>
  <c r="Y38" i="16" s="1"/>
  <c r="N52" i="10"/>
  <c r="O43" i="10"/>
  <c r="J5" i="2"/>
  <c r="E31" i="8"/>
  <c r="R232" i="16"/>
  <c r="R233" i="16"/>
  <c r="X102" i="16"/>
  <c r="N88" i="17"/>
  <c r="AH337" i="16"/>
  <c r="AH338" i="16" s="1"/>
  <c r="AE333" i="16"/>
  <c r="AE334" i="16"/>
  <c r="M83" i="17"/>
  <c r="AC328" i="16"/>
  <c r="P43" i="10"/>
  <c r="O52" i="10"/>
  <c r="R303" i="16"/>
  <c r="I24" i="7"/>
  <c r="I27" i="8"/>
  <c r="R24" i="10"/>
  <c r="S15" i="10"/>
  <c r="Q25" i="10"/>
  <c r="L214" i="16"/>
  <c r="AE45" i="16"/>
  <c r="AE46" i="16"/>
  <c r="J18" i="34"/>
  <c r="L15" i="9"/>
  <c r="K31" i="29"/>
  <c r="K32" i="29"/>
  <c r="K5" i="2"/>
  <c r="I221" i="16"/>
  <c r="I220" i="16"/>
  <c r="T309" i="16"/>
  <c r="T310" i="16" s="1"/>
  <c r="L10" i="2"/>
  <c r="L13" i="2"/>
  <c r="K10" i="9"/>
  <c r="M7" i="2" s="1"/>
  <c r="M5" i="2" s="1"/>
  <c r="L16" i="2"/>
  <c r="J8" i="15" s="1"/>
  <c r="L15" i="2"/>
  <c r="L6" i="2"/>
  <c r="L7" i="2"/>
  <c r="L5" i="2" s="1"/>
  <c r="L24" i="2"/>
  <c r="L11" i="2"/>
  <c r="J24" i="7" s="1"/>
  <c r="J27" i="8" s="1"/>
  <c r="J36" i="8" s="1"/>
  <c r="L14" i="2"/>
  <c r="Y104" i="16"/>
  <c r="W33" i="16"/>
  <c r="W34" i="16" s="1"/>
  <c r="AG53" i="17"/>
  <c r="T143" i="16"/>
  <c r="I10" i="8"/>
  <c r="K35" i="2"/>
  <c r="AI125" i="16"/>
  <c r="O159" i="16"/>
  <c r="O160" i="16" s="1"/>
  <c r="L150" i="17"/>
  <c r="M144" i="17"/>
  <c r="Z37" i="16"/>
  <c r="Z38" i="16"/>
  <c r="AA323" i="16"/>
  <c r="AA324" i="16"/>
  <c r="H13" i="15"/>
  <c r="H12" i="15"/>
  <c r="H8" i="7" s="1"/>
  <c r="H22" i="8" s="1"/>
  <c r="H31" i="8" s="1"/>
  <c r="H43" i="29"/>
  <c r="AF45" i="16"/>
  <c r="AF46" i="16" s="1"/>
  <c r="O87" i="17"/>
  <c r="O88" i="17" s="1"/>
  <c r="Y102" i="16"/>
  <c r="Y103" i="16" s="1"/>
  <c r="S232" i="16"/>
  <c r="S233" i="16" s="1"/>
  <c r="U309" i="16"/>
  <c r="U310" i="16" s="1"/>
  <c r="AF333" i="16"/>
  <c r="AF334" i="16" s="1"/>
  <c r="AD327" i="16"/>
  <c r="AD328" i="16" s="1"/>
  <c r="I79" i="16"/>
  <c r="AA37" i="16"/>
  <c r="AA38" i="16"/>
  <c r="J220" i="16"/>
  <c r="J221" i="16"/>
  <c r="N144" i="17"/>
  <c r="N150" i="17" s="1"/>
  <c r="M150" i="17"/>
  <c r="I43" i="29"/>
  <c r="I13" i="15"/>
  <c r="I12" i="15"/>
  <c r="I15" i="15" s="1"/>
  <c r="U143" i="16"/>
  <c r="L35" i="2"/>
  <c r="J10" i="8"/>
  <c r="M214" i="16"/>
  <c r="T15" i="10"/>
  <c r="S24" i="10"/>
  <c r="AF41" i="17"/>
  <c r="AF42" i="17" s="1"/>
  <c r="M15" i="9"/>
  <c r="M31" i="29" s="1"/>
  <c r="M32" i="29" s="1"/>
  <c r="K18" i="34"/>
  <c r="L31" i="29"/>
  <c r="L32" i="29" s="1"/>
  <c r="R25" i="10"/>
  <c r="O53" i="10"/>
  <c r="M15" i="2"/>
  <c r="L10" i="9"/>
  <c r="M6" i="2"/>
  <c r="M14" i="2"/>
  <c r="K24" i="7" s="1"/>
  <c r="K27" i="8" s="1"/>
  <c r="K36" i="8" s="1"/>
  <c r="M10" i="2"/>
  <c r="M11" i="2"/>
  <c r="M16" i="2"/>
  <c r="K8" i="15" s="1"/>
  <c r="K3" i="15" s="1"/>
  <c r="M24" i="2"/>
  <c r="M13" i="2"/>
  <c r="AB324" i="16"/>
  <c r="AB323" i="16"/>
  <c r="Q43" i="10"/>
  <c r="P52" i="10"/>
  <c r="V143" i="16"/>
  <c r="AB37" i="16"/>
  <c r="AB38" i="16" s="1"/>
  <c r="J78" i="16"/>
  <c r="J79" i="16"/>
  <c r="K78" i="16" s="1"/>
  <c r="AC323" i="16"/>
  <c r="AC324" i="16" s="1"/>
  <c r="AD323" i="16" s="1"/>
  <c r="K220" i="16"/>
  <c r="N15" i="9"/>
  <c r="L18" i="34"/>
  <c r="P53" i="10"/>
  <c r="S25" i="10"/>
  <c r="R43" i="10"/>
  <c r="Q52" i="10"/>
  <c r="N11" i="2"/>
  <c r="N15" i="2"/>
  <c r="N6" i="2"/>
  <c r="N13" i="2"/>
  <c r="M10" i="9"/>
  <c r="N7" i="2"/>
  <c r="N24" i="2"/>
  <c r="N16" i="2"/>
  <c r="L8" i="15"/>
  <c r="N10" i="2"/>
  <c r="N14" i="2"/>
  <c r="T24" i="10"/>
  <c r="U15" i="10"/>
  <c r="M35" i="2"/>
  <c r="K10" i="8"/>
  <c r="N214" i="16"/>
  <c r="AD324" i="16"/>
  <c r="O14" i="2"/>
  <c r="O16" i="2"/>
  <c r="M8" i="15"/>
  <c r="M3" i="15" s="1"/>
  <c r="M15" i="15" s="1"/>
  <c r="O11" i="2"/>
  <c r="O7" i="2"/>
  <c r="O6" i="2"/>
  <c r="O5" i="2"/>
  <c r="O10" i="2"/>
  <c r="M24" i="7" s="1"/>
  <c r="M27" i="8" s="1"/>
  <c r="O13" i="2"/>
  <c r="N10" i="9"/>
  <c r="O10" i="9" s="1"/>
  <c r="O15" i="2"/>
  <c r="O24" i="2"/>
  <c r="O214" i="16"/>
  <c r="N5" i="2"/>
  <c r="M18" i="34"/>
  <c r="O15" i="9"/>
  <c r="N31" i="29"/>
  <c r="N32" i="29" s="1"/>
  <c r="K79" i="16"/>
  <c r="U24" i="10"/>
  <c r="V15" i="10"/>
  <c r="W15" i="10" s="1"/>
  <c r="Q53" i="10"/>
  <c r="K221" i="16"/>
  <c r="W143" i="16"/>
  <c r="T25" i="10"/>
  <c r="N35" i="2"/>
  <c r="L10" i="8"/>
  <c r="S43" i="10"/>
  <c r="R52" i="10"/>
  <c r="V24" i="10"/>
  <c r="P15" i="2"/>
  <c r="P6" i="2"/>
  <c r="P13" i="2"/>
  <c r="P24" i="2"/>
  <c r="P214" i="16"/>
  <c r="P15" i="9"/>
  <c r="O31" i="29"/>
  <c r="O32" i="29"/>
  <c r="N18" i="34"/>
  <c r="X143" i="16"/>
  <c r="U25" i="10"/>
  <c r="L220" i="16"/>
  <c r="M13" i="15"/>
  <c r="M12" i="15"/>
  <c r="M8" i="7" s="1"/>
  <c r="M22" i="8" s="1"/>
  <c r="M43" i="29"/>
  <c r="AE324" i="16"/>
  <c r="AE323" i="16"/>
  <c r="L78" i="16"/>
  <c r="L43" i="29"/>
  <c r="L13" i="15"/>
  <c r="L12" i="15" s="1"/>
  <c r="L8" i="7" s="1"/>
  <c r="L22" i="8" s="1"/>
  <c r="R53" i="10"/>
  <c r="S52" i="10"/>
  <c r="T43" i="10"/>
  <c r="O35" i="2"/>
  <c r="M10" i="8"/>
  <c r="U43" i="10"/>
  <c r="T52" i="10"/>
  <c r="L79" i="16"/>
  <c r="N10" i="8"/>
  <c r="P35" i="2"/>
  <c r="S53" i="10"/>
  <c r="L221" i="16"/>
  <c r="V25" i="10"/>
  <c r="Q15" i="9"/>
  <c r="P31" i="29"/>
  <c r="P32" i="29" s="1"/>
  <c r="O18" i="34"/>
  <c r="Q214" i="16"/>
  <c r="AF323" i="16"/>
  <c r="AF324" i="16" s="1"/>
  <c r="AG323" i="16" s="1"/>
  <c r="Y143" i="16"/>
  <c r="Z143" i="16" s="1"/>
  <c r="AG324" i="16"/>
  <c r="M220" i="16"/>
  <c r="M221" i="16"/>
  <c r="R214" i="16"/>
  <c r="T53" i="10"/>
  <c r="V43" i="10"/>
  <c r="U52" i="10"/>
  <c r="M78" i="16"/>
  <c r="M79" i="16" s="1"/>
  <c r="P18" i="34"/>
  <c r="R15" i="9"/>
  <c r="R31" i="29" s="1"/>
  <c r="R32" i="29" s="1"/>
  <c r="Q31" i="29"/>
  <c r="Q32" i="29" s="1"/>
  <c r="AH323" i="16"/>
  <c r="AH324" i="16"/>
  <c r="AI323" i="16" s="1"/>
  <c r="AI324" i="16" s="1"/>
  <c r="AA143" i="16"/>
  <c r="U53" i="10"/>
  <c r="V52" i="10"/>
  <c r="W43" i="10"/>
  <c r="Q18" i="34"/>
  <c r="S15" i="9"/>
  <c r="S214" i="16"/>
  <c r="N220" i="16"/>
  <c r="N221" i="16" s="1"/>
  <c r="V53" i="10"/>
  <c r="W52" i="10"/>
  <c r="W53" i="10" s="1"/>
  <c r="X43" i="10"/>
  <c r="AB143" i="16"/>
  <c r="R18" i="34"/>
  <c r="S31" i="29"/>
  <c r="S32" i="29" s="1"/>
  <c r="T15" i="9"/>
  <c r="T214" i="16"/>
  <c r="T31" i="29"/>
  <c r="T32" i="29"/>
  <c r="S18" i="34"/>
  <c r="U15" i="9"/>
  <c r="U31" i="29" s="1"/>
  <c r="U32" i="29" s="1"/>
  <c r="U214" i="16"/>
  <c r="V214" i="16" s="1"/>
  <c r="W214" i="16" s="1"/>
  <c r="X214" i="16" s="1"/>
  <c r="Y214" i="16" s="1"/>
  <c r="Z214" i="16" s="1"/>
  <c r="AA214" i="16" s="1"/>
  <c r="AC143" i="16"/>
  <c r="X52" i="10"/>
  <c r="X53" i="10" s="1"/>
  <c r="Y43" i="10"/>
  <c r="AD143" i="16"/>
  <c r="T18" i="34"/>
  <c r="V15" i="9"/>
  <c r="Y52" i="10"/>
  <c r="Z43" i="10"/>
  <c r="Y53" i="10"/>
  <c r="Z52" i="10"/>
  <c r="AA43" i="10"/>
  <c r="AB43" i="10" s="1"/>
  <c r="AB52" i="10" s="1"/>
  <c r="AB53" i="10" s="1"/>
  <c r="U18" i="34"/>
  <c r="W15" i="9"/>
  <c r="V31" i="29"/>
  <c r="V32" i="29" s="1"/>
  <c r="AE143" i="16"/>
  <c r="AF143" i="16" s="1"/>
  <c r="AG143" i="16" s="1"/>
  <c r="Z53" i="10"/>
  <c r="W31" i="29"/>
  <c r="W32" i="29" s="1"/>
  <c r="AA52" i="10"/>
  <c r="AA53" i="10"/>
  <c r="AC43" i="10"/>
  <c r="AC52" i="10" s="1"/>
  <c r="AC53" i="10" s="1"/>
  <c r="AH143" i="16"/>
  <c r="AI143" i="16" s="1"/>
  <c r="AB214" i="16"/>
  <c r="AC214" i="16"/>
  <c r="AD214" i="16" s="1"/>
  <c r="AE214" i="16" s="1"/>
  <c r="AF214" i="16" s="1"/>
  <c r="AG214" i="16" s="1"/>
  <c r="AH214" i="16" s="1"/>
  <c r="AI214" i="16" s="1"/>
  <c r="G36" i="8"/>
  <c r="M17" i="15"/>
  <c r="M18" i="15"/>
  <c r="I17" i="15"/>
  <c r="I18" i="15"/>
  <c r="H24" i="7"/>
  <c r="H27" i="8"/>
  <c r="H36" i="8" s="1"/>
  <c r="G8" i="15"/>
  <c r="G3" i="15" s="1"/>
  <c r="G15" i="15" s="1"/>
  <c r="G18" i="15" s="1"/>
  <c r="L24" i="7"/>
  <c r="L27" i="8" s="1"/>
  <c r="M36" i="8" s="1"/>
  <c r="L36" i="8"/>
  <c r="F37" i="8"/>
  <c r="E37" i="8"/>
  <c r="D37" i="8"/>
  <c r="H37" i="8"/>
  <c r="G37" i="8"/>
  <c r="L3" i="39"/>
  <c r="U43" i="43" l="1"/>
  <c r="K21" i="43"/>
  <c r="K197" i="43"/>
  <c r="K93" i="43"/>
  <c r="K78" i="43"/>
  <c r="L14" i="43"/>
  <c r="K87" i="43"/>
  <c r="O14" i="43"/>
  <c r="Q11" i="43" s="1"/>
  <c r="K195" i="43"/>
  <c r="K128" i="43"/>
  <c r="K214" i="43"/>
  <c r="Q14" i="43"/>
  <c r="J102" i="43"/>
  <c r="K102" i="43" s="1"/>
  <c r="K240" i="43"/>
  <c r="J236" i="43"/>
  <c r="K236" i="43" s="1"/>
  <c r="K111" i="43"/>
  <c r="I190" i="43"/>
  <c r="I65" i="43"/>
  <c r="K22" i="43"/>
  <c r="I37" i="43"/>
  <c r="I95" i="43"/>
  <c r="J95" i="43" s="1"/>
  <c r="K95" i="43" s="1"/>
  <c r="I89" i="43"/>
  <c r="I144" i="43"/>
  <c r="I25" i="43"/>
  <c r="J25" i="43" s="1"/>
  <c r="K25" i="43" s="1"/>
  <c r="I71" i="43"/>
  <c r="J71" i="43" s="1"/>
  <c r="I84" i="43"/>
  <c r="I222" i="43"/>
  <c r="J222" i="43" s="1"/>
  <c r="K222" i="43" s="1"/>
  <c r="I162" i="43"/>
  <c r="J162" i="43" s="1"/>
  <c r="K162" i="43" s="1"/>
  <c r="I242" i="43"/>
  <c r="I158" i="43"/>
  <c r="J158" i="43" s="1"/>
  <c r="I223" i="43"/>
  <c r="J223" i="43" s="1"/>
  <c r="I79" i="43"/>
  <c r="I141" i="43"/>
  <c r="I230" i="43"/>
  <c r="J230" i="43" s="1"/>
  <c r="I243" i="43"/>
  <c r="I136" i="43"/>
  <c r="I182" i="43"/>
  <c r="J182" i="43" s="1"/>
  <c r="K182" i="43" s="1"/>
  <c r="I246" i="43"/>
  <c r="J246" i="43" s="1"/>
  <c r="K246" i="43" s="1"/>
  <c r="I227" i="43"/>
  <c r="I137" i="43"/>
  <c r="J137" i="43" s="1"/>
  <c r="K137" i="43" s="1"/>
  <c r="I207" i="43"/>
  <c r="J207" i="43" s="1"/>
  <c r="K207" i="43" s="1"/>
  <c r="I267" i="43"/>
  <c r="I164" i="43"/>
  <c r="I88" i="43"/>
  <c r="J88" i="43" s="1"/>
  <c r="K88" i="43" s="1"/>
  <c r="K219" i="43"/>
  <c r="K66" i="43"/>
  <c r="K255" i="43"/>
  <c r="K38" i="43"/>
  <c r="K204" i="43"/>
  <c r="I179" i="43"/>
  <c r="I34" i="43"/>
  <c r="J34" i="43" s="1"/>
  <c r="K34" i="43" s="1"/>
  <c r="I30" i="43"/>
  <c r="J30" i="43" s="1"/>
  <c r="K30" i="43" s="1"/>
  <c r="I99" i="43"/>
  <c r="I215" i="43"/>
  <c r="I60" i="43"/>
  <c r="I151" i="43"/>
  <c r="I35" i="43"/>
  <c r="J35" i="43" s="1"/>
  <c r="K35" i="43" s="1"/>
  <c r="I100" i="43"/>
  <c r="I27" i="43"/>
  <c r="J27" i="43" s="1"/>
  <c r="K27" i="43" s="1"/>
  <c r="I125" i="43"/>
  <c r="I258" i="43"/>
  <c r="J258" i="43" s="1"/>
  <c r="K258" i="43" s="1"/>
  <c r="I98" i="43"/>
  <c r="J98" i="43" s="1"/>
  <c r="I247" i="43"/>
  <c r="I173" i="43"/>
  <c r="I256" i="43"/>
  <c r="J256" i="43" s="1"/>
  <c r="K256" i="43" s="1"/>
  <c r="I194" i="43"/>
  <c r="I254" i="43"/>
  <c r="I85" i="43"/>
  <c r="I145" i="43"/>
  <c r="I238" i="43"/>
  <c r="J238" i="43" s="1"/>
  <c r="K238" i="43" s="1"/>
  <c r="I252" i="43"/>
  <c r="J252" i="43" s="1"/>
  <c r="K252" i="43" s="1"/>
  <c r="I138" i="43"/>
  <c r="I200" i="43"/>
  <c r="I264" i="43"/>
  <c r="I231" i="43"/>
  <c r="I139" i="43"/>
  <c r="I175" i="43"/>
  <c r="I213" i="43"/>
  <c r="J213" i="43" s="1"/>
  <c r="K213" i="43" s="1"/>
  <c r="I269" i="43"/>
  <c r="J269" i="43" s="1"/>
  <c r="K269" i="43" s="1"/>
  <c r="I96" i="43"/>
  <c r="J96" i="43" s="1"/>
  <c r="K96" i="43" s="1"/>
  <c r="I70" i="43"/>
  <c r="I28" i="43"/>
  <c r="I159" i="43"/>
  <c r="J159" i="43" s="1"/>
  <c r="K159" i="43" s="1"/>
  <c r="P19" i="43"/>
  <c r="P14" i="43" s="1"/>
  <c r="I152" i="43"/>
  <c r="I126" i="43"/>
  <c r="J126" i="43" s="1"/>
  <c r="K126" i="43" s="1"/>
  <c r="I26" i="43"/>
  <c r="J26" i="43" s="1"/>
  <c r="I114" i="43"/>
  <c r="J114" i="43" s="1"/>
  <c r="K114" i="43" s="1"/>
  <c r="I274" i="43"/>
  <c r="J274" i="43" s="1"/>
  <c r="K274" i="43" s="1"/>
  <c r="I72" i="43"/>
  <c r="J72" i="43" s="1"/>
  <c r="I196" i="43"/>
  <c r="I52" i="43"/>
  <c r="J52" i="43" s="1"/>
  <c r="I104" i="43"/>
  <c r="I188" i="43"/>
  <c r="J188" i="43" s="1"/>
  <c r="K188" i="43" s="1"/>
  <c r="I33" i="43"/>
  <c r="I155" i="43"/>
  <c r="I42" i="43"/>
  <c r="I105" i="43"/>
  <c r="I268" i="43"/>
  <c r="I186" i="43"/>
  <c r="I206" i="43"/>
  <c r="I43" i="43"/>
  <c r="J43" i="43" s="1"/>
  <c r="I110" i="43"/>
  <c r="J110" i="43" s="1"/>
  <c r="K110" i="43" s="1"/>
  <c r="I163" i="43"/>
  <c r="J163" i="43" s="1"/>
  <c r="I248" i="43"/>
  <c r="I251" i="43"/>
  <c r="I150" i="43"/>
  <c r="I212" i="43"/>
  <c r="I193" i="43"/>
  <c r="J193" i="43" s="1"/>
  <c r="I257" i="43"/>
  <c r="I273" i="43"/>
  <c r="I20" i="43"/>
  <c r="I51" i="43"/>
  <c r="K119" i="43"/>
  <c r="K275" i="43"/>
  <c r="K124" i="43"/>
  <c r="K41" i="43"/>
  <c r="K237" i="43"/>
  <c r="K142" i="43"/>
  <c r="J19" i="43"/>
  <c r="K19" i="43" s="1"/>
  <c r="I108" i="43"/>
  <c r="J108" i="43" s="1"/>
  <c r="K108" i="43" s="1"/>
  <c r="I112" i="43"/>
  <c r="I39" i="43"/>
  <c r="I29" i="43"/>
  <c r="J29" i="43" s="1"/>
  <c r="K29" i="43" s="1"/>
  <c r="I91" i="43"/>
  <c r="I253" i="43"/>
  <c r="I69" i="43"/>
  <c r="I118" i="43"/>
  <c r="J118" i="43" s="1"/>
  <c r="K118" i="43" s="1"/>
  <c r="I224" i="43"/>
  <c r="I63" i="43"/>
  <c r="J63" i="43" s="1"/>
  <c r="I167" i="43"/>
  <c r="I123" i="43"/>
  <c r="J123" i="43" s="1"/>
  <c r="K123" i="43" s="1"/>
  <c r="I133" i="43"/>
  <c r="I53" i="43"/>
  <c r="I184" i="43"/>
  <c r="J184" i="43" s="1"/>
  <c r="I154" i="43"/>
  <c r="I261" i="43"/>
  <c r="J261" i="43" s="1"/>
  <c r="K261" i="43" s="1"/>
  <c r="I170" i="43"/>
  <c r="I232" i="43"/>
  <c r="J232" i="43" s="1"/>
  <c r="I199" i="43"/>
  <c r="J199" i="43" s="1"/>
  <c r="K199" i="43" s="1"/>
  <c r="I263" i="43"/>
  <c r="J263" i="43" s="1"/>
  <c r="K263" i="43" s="1"/>
  <c r="I149" i="43"/>
  <c r="I239" i="43"/>
  <c r="I228" i="43"/>
  <c r="J228" i="43" s="1"/>
  <c r="K166" i="43"/>
  <c r="G14" i="43"/>
  <c r="H157" i="43" s="1"/>
  <c r="K168" i="43"/>
  <c r="K160" i="43"/>
  <c r="K202" i="43"/>
  <c r="K116" i="43"/>
  <c r="I92" i="43"/>
  <c r="I61" i="43"/>
  <c r="I107" i="43"/>
  <c r="J107" i="43" s="1"/>
  <c r="I74" i="43"/>
  <c r="I161" i="43"/>
  <c r="I46" i="43"/>
  <c r="I97" i="43"/>
  <c r="I262" i="43"/>
  <c r="J262" i="43" s="1"/>
  <c r="K262" i="43" s="1"/>
  <c r="I81" i="43"/>
  <c r="I127" i="43"/>
  <c r="I241" i="43"/>
  <c r="I58" i="43"/>
  <c r="I209" i="43"/>
  <c r="I67" i="43"/>
  <c r="J67" i="43" s="1"/>
  <c r="K67" i="43" s="1"/>
  <c r="I185" i="43"/>
  <c r="I135" i="43"/>
  <c r="I191" i="43"/>
  <c r="J191" i="43" s="1"/>
  <c r="K191" i="43" s="1"/>
  <c r="I147" i="43"/>
  <c r="I218" i="43"/>
  <c r="I73" i="43"/>
  <c r="J73" i="43" s="1"/>
  <c r="I121" i="43"/>
  <c r="I211" i="43"/>
  <c r="J211" i="43" s="1"/>
  <c r="I187" i="43"/>
  <c r="J187" i="43" s="1"/>
  <c r="K187" i="43" s="1"/>
  <c r="I103" i="43"/>
  <c r="I180" i="43"/>
  <c r="J180" i="43" s="1"/>
  <c r="K180" i="43" s="1"/>
  <c r="I234" i="43"/>
  <c r="J234" i="43" s="1"/>
  <c r="K234" i="43" s="1"/>
  <c r="I205" i="43"/>
  <c r="I120" i="43"/>
  <c r="I169" i="43"/>
  <c r="I201" i="43"/>
  <c r="I245" i="43"/>
  <c r="I132" i="43"/>
  <c r="J132" i="43" s="1"/>
  <c r="K132" i="43" s="1"/>
  <c r="I40" i="43"/>
  <c r="K174" i="43"/>
  <c r="K260" i="43"/>
  <c r="K23" i="43"/>
  <c r="I80" i="43"/>
  <c r="I49" i="43"/>
  <c r="J49" i="43" s="1"/>
  <c r="K49" i="43" s="1"/>
  <c r="I56" i="43"/>
  <c r="J56" i="43" s="1"/>
  <c r="I77" i="43"/>
  <c r="I176" i="43"/>
  <c r="J176" i="43" s="1"/>
  <c r="K176" i="43" s="1"/>
  <c r="I54" i="43"/>
  <c r="J54" i="43" s="1"/>
  <c r="K54" i="43" s="1"/>
  <c r="I106" i="43"/>
  <c r="J106" i="43" s="1"/>
  <c r="K106" i="43" s="1"/>
  <c r="I31" i="43"/>
  <c r="J31" i="43" s="1"/>
  <c r="K31" i="43" s="1"/>
  <c r="I83" i="43"/>
  <c r="I131" i="43"/>
  <c r="J131" i="43" s="1"/>
  <c r="D12" i="43"/>
  <c r="I64" i="43"/>
  <c r="I250" i="43"/>
  <c r="I76" i="43"/>
  <c r="I217" i="43"/>
  <c r="I140" i="43"/>
  <c r="J140" i="43" s="1"/>
  <c r="K140" i="43" s="1"/>
  <c r="I229" i="43"/>
  <c r="I156" i="43"/>
  <c r="J156" i="43" s="1"/>
  <c r="I221" i="43"/>
  <c r="J221" i="43" s="1"/>
  <c r="I75" i="43"/>
  <c r="J75" i="43" s="1"/>
  <c r="K75" i="43" s="1"/>
  <c r="I130" i="43"/>
  <c r="I226" i="43"/>
  <c r="J226" i="43" s="1"/>
  <c r="K226" i="43" s="1"/>
  <c r="I216" i="43"/>
  <c r="I109" i="43"/>
  <c r="J109" i="43" s="1"/>
  <c r="I244" i="43"/>
  <c r="I225" i="43"/>
  <c r="J225" i="43" s="1"/>
  <c r="K225" i="43" s="1"/>
  <c r="I122" i="43"/>
  <c r="I171" i="43"/>
  <c r="I203" i="43"/>
  <c r="J203" i="43" s="1"/>
  <c r="K203" i="43" s="1"/>
  <c r="I265" i="43"/>
  <c r="J265" i="43" s="1"/>
  <c r="I113" i="43"/>
  <c r="I55" i="43"/>
  <c r="I86" i="43"/>
  <c r="J86" i="43" s="1"/>
  <c r="K86" i="43" s="1"/>
  <c r="I172" i="43"/>
  <c r="J172" i="43" s="1"/>
  <c r="K172" i="43" s="1"/>
  <c r="G17" i="15"/>
  <c r="I36" i="8"/>
  <c r="AD43" i="10"/>
  <c r="N78" i="16"/>
  <c r="N79" i="16"/>
  <c r="O220" i="16"/>
  <c r="O221" i="16"/>
  <c r="X15" i="9"/>
  <c r="V18" i="34"/>
  <c r="AC37" i="16"/>
  <c r="AC38" i="16" s="1"/>
  <c r="W24" i="10"/>
  <c r="W25" i="10" s="1"/>
  <c r="X15" i="10"/>
  <c r="M31" i="8"/>
  <c r="P10" i="9"/>
  <c r="Q15" i="2"/>
  <c r="Q13" i="2"/>
  <c r="Q11" i="2"/>
  <c r="Q16" i="2"/>
  <c r="O8" i="15" s="1"/>
  <c r="O3" i="15" s="1"/>
  <c r="Q6" i="2"/>
  <c r="Q5" i="2" s="1"/>
  <c r="Q24" i="2"/>
  <c r="Q14" i="2"/>
  <c r="Q7" i="2"/>
  <c r="Q10" i="2"/>
  <c r="J43" i="29"/>
  <c r="J13" i="15"/>
  <c r="J12" i="15" s="1"/>
  <c r="J8" i="7" s="1"/>
  <c r="J22" i="8" s="1"/>
  <c r="P16" i="2"/>
  <c r="N8" i="15" s="1"/>
  <c r="N3" i="15" s="1"/>
  <c r="Z102" i="16"/>
  <c r="Z103" i="16" s="1"/>
  <c r="V309" i="16"/>
  <c r="V310" i="16" s="1"/>
  <c r="T232" i="16"/>
  <c r="T233" i="16" s="1"/>
  <c r="P88" i="17"/>
  <c r="P87" i="17"/>
  <c r="AG45" i="16"/>
  <c r="AG46" i="16" s="1"/>
  <c r="X33" i="16"/>
  <c r="X34" i="16" s="1"/>
  <c r="P14" i="2"/>
  <c r="P7" i="2"/>
  <c r="P5" i="2" s="1"/>
  <c r="AG42" i="17"/>
  <c r="AG41" i="17"/>
  <c r="K43" i="29"/>
  <c r="K13" i="15"/>
  <c r="K12" i="15" s="1"/>
  <c r="K8" i="7" s="1"/>
  <c r="K22" i="8" s="1"/>
  <c r="P10" i="2"/>
  <c r="P11" i="2"/>
  <c r="AE327" i="16"/>
  <c r="AE328" i="16" s="1"/>
  <c r="P159" i="16"/>
  <c r="P160" i="16"/>
  <c r="AG333" i="16"/>
  <c r="AG334" i="16" s="1"/>
  <c r="I8" i="7"/>
  <c r="I22" i="8" s="1"/>
  <c r="AI337" i="16"/>
  <c r="AI338" i="16" s="1"/>
  <c r="R304" i="16"/>
  <c r="AG54" i="17"/>
  <c r="N85" i="16"/>
  <c r="W29" i="16"/>
  <c r="W30" i="16" s="1"/>
  <c r="M84" i="17"/>
  <c r="N84" i="16"/>
  <c r="AD118" i="17"/>
  <c r="Y105" i="16"/>
  <c r="I6" i="17"/>
  <c r="I5" i="17"/>
  <c r="J291" i="16"/>
  <c r="J292" i="16" s="1"/>
  <c r="O144" i="17"/>
  <c r="R22" i="17"/>
  <c r="AD43" i="16"/>
  <c r="AD44" i="16" s="1"/>
  <c r="AF122" i="17"/>
  <c r="AF121" i="17"/>
  <c r="O15" i="16"/>
  <c r="O16" i="16" s="1"/>
  <c r="J78" i="17"/>
  <c r="AA40" i="17"/>
  <c r="N300" i="16"/>
  <c r="J77" i="17"/>
  <c r="S239" i="16"/>
  <c r="L86" i="17"/>
  <c r="Z41" i="16"/>
  <c r="Z42" i="16" s="1"/>
  <c r="O302" i="16"/>
  <c r="Q26" i="17"/>
  <c r="X249" i="16"/>
  <c r="W38" i="17"/>
  <c r="W37" i="17"/>
  <c r="W32" i="16"/>
  <c r="AI273" i="16"/>
  <c r="N12" i="16"/>
  <c r="AF48" i="17"/>
  <c r="S24" i="16"/>
  <c r="P16" i="17"/>
  <c r="Q25" i="17"/>
  <c r="I76" i="16"/>
  <c r="I77" i="16"/>
  <c r="T312" i="16"/>
  <c r="H15" i="15"/>
  <c r="J6" i="16"/>
  <c r="J10" i="16"/>
  <c r="S170" i="16"/>
  <c r="S95" i="16"/>
  <c r="S313" i="16"/>
  <c r="S314" i="16" s="1"/>
  <c r="I13" i="16"/>
  <c r="I14" i="16" s="1"/>
  <c r="AE120" i="16"/>
  <c r="AE121" i="16" s="1"/>
  <c r="AE195" i="16"/>
  <c r="AE196" i="16"/>
  <c r="T36" i="16"/>
  <c r="T35" i="16"/>
  <c r="J87" i="16"/>
  <c r="J86" i="16"/>
  <c r="Z329" i="16"/>
  <c r="Z330" i="16" s="1"/>
  <c r="AE54" i="16"/>
  <c r="AD119" i="17"/>
  <c r="AD120" i="17" s="1"/>
  <c r="R96" i="16"/>
  <c r="R97" i="16" s="1"/>
  <c r="P236" i="16"/>
  <c r="P237" i="16" s="1"/>
  <c r="L229" i="16"/>
  <c r="AH59" i="16"/>
  <c r="AH60" i="16"/>
  <c r="X43" i="17"/>
  <c r="X44" i="17" s="1"/>
  <c r="AC263" i="16"/>
  <c r="V178" i="16"/>
  <c r="V177" i="16"/>
  <c r="F15" i="15"/>
  <c r="S28" i="16"/>
  <c r="AD194" i="16"/>
  <c r="AD193" i="16"/>
  <c r="G69" i="17"/>
  <c r="AI204" i="16"/>
  <c r="AA117" i="16"/>
  <c r="Y40" i="16"/>
  <c r="O20" i="16"/>
  <c r="Z112" i="16"/>
  <c r="Z113" i="16"/>
  <c r="O164" i="16"/>
  <c r="K9" i="17"/>
  <c r="K10" i="17"/>
  <c r="AH55" i="16"/>
  <c r="AH56" i="16" s="1"/>
  <c r="AB115" i="16"/>
  <c r="S33" i="17"/>
  <c r="S34" i="17" s="1"/>
  <c r="AH134" i="16"/>
  <c r="AH135" i="16"/>
  <c r="H223" i="16"/>
  <c r="W322" i="16"/>
  <c r="AC267" i="16"/>
  <c r="S102" i="17"/>
  <c r="AG23" i="7"/>
  <c r="AG26" i="8" s="1"/>
  <c r="AF129" i="16"/>
  <c r="K178" i="43"/>
  <c r="S245" i="16"/>
  <c r="X255" i="16"/>
  <c r="K82" i="43"/>
  <c r="AA332" i="16"/>
  <c r="I15" i="2"/>
  <c r="AC335" i="16"/>
  <c r="AC336" i="16" s="1"/>
  <c r="AF130" i="17"/>
  <c r="D15" i="15"/>
  <c r="H82" i="17"/>
  <c r="S99" i="17"/>
  <c r="S100" i="17"/>
  <c r="O95" i="17"/>
  <c r="O96" i="17" s="1"/>
  <c r="J156" i="16"/>
  <c r="P97" i="17"/>
  <c r="P98" i="17"/>
  <c r="O23" i="17"/>
  <c r="O24" i="17" s="1"/>
  <c r="AE340" i="16"/>
  <c r="R98" i="16"/>
  <c r="R99" i="16" s="1"/>
  <c r="AC51" i="17"/>
  <c r="AC52" i="17" s="1"/>
  <c r="AF10" i="15"/>
  <c r="AF23" i="7" s="1"/>
  <c r="AF26" i="8" s="1"/>
  <c r="AF35" i="8" s="1"/>
  <c r="AF7" i="8"/>
  <c r="AC125" i="17"/>
  <c r="AC126" i="17" s="1"/>
  <c r="E15" i="15"/>
  <c r="N234" i="16"/>
  <c r="N235" i="16" s="1"/>
  <c r="P25" i="16"/>
  <c r="P26" i="16" s="1"/>
  <c r="L91" i="17"/>
  <c r="L92" i="17"/>
  <c r="H150" i="16"/>
  <c r="AE339" i="16"/>
  <c r="AI63" i="17"/>
  <c r="AI64" i="17" s="1"/>
  <c r="AE55" i="17"/>
  <c r="AE56" i="17" s="1"/>
  <c r="F40" i="10"/>
  <c r="F39" i="10" s="1"/>
  <c r="F41" i="10"/>
  <c r="AA7" i="8"/>
  <c r="AA10" i="15"/>
  <c r="AA23" i="7"/>
  <c r="AA26" i="8" s="1"/>
  <c r="R242" i="16"/>
  <c r="R243" i="16" s="1"/>
  <c r="J154" i="16"/>
  <c r="S246" i="16"/>
  <c r="S247" i="16"/>
  <c r="X114" i="17"/>
  <c r="AB261" i="16"/>
  <c r="P23" i="7"/>
  <c r="P26" i="8" s="1"/>
  <c r="T107" i="17"/>
  <c r="T108" i="17"/>
  <c r="U104" i="17"/>
  <c r="F80" i="17"/>
  <c r="H80" i="16"/>
  <c r="H81" i="16" s="1"/>
  <c r="C61" i="10"/>
  <c r="C11" i="10"/>
  <c r="U109" i="17"/>
  <c r="U110" i="17"/>
  <c r="Q28" i="17"/>
  <c r="G7" i="17"/>
  <c r="G8" i="17"/>
  <c r="S241" i="16"/>
  <c r="AG133" i="17"/>
  <c r="AG134" i="17"/>
  <c r="AG59" i="17"/>
  <c r="AG60" i="17" s="1"/>
  <c r="U317" i="16"/>
  <c r="U318" i="16" s="1"/>
  <c r="G55" i="10"/>
  <c r="U35" i="17"/>
  <c r="U36" i="17" s="1"/>
  <c r="L17" i="17"/>
  <c r="L18" i="17" s="1"/>
  <c r="Z116" i="17"/>
  <c r="V35" i="8"/>
  <c r="M19" i="17"/>
  <c r="M20" i="17" s="1"/>
  <c r="AB49" i="17"/>
  <c r="AB50" i="17" s="1"/>
  <c r="J227" i="16"/>
  <c r="J226" i="16"/>
  <c r="AG346" i="16"/>
  <c r="F7" i="16"/>
  <c r="F69" i="16" s="1"/>
  <c r="E70" i="16"/>
  <c r="E361" i="16" s="1"/>
  <c r="C14" i="7" s="1"/>
  <c r="Y111" i="17"/>
  <c r="Y112" i="17" s="1"/>
  <c r="J12" i="17"/>
  <c r="AB124" i="17"/>
  <c r="K90" i="17"/>
  <c r="J155" i="16"/>
  <c r="S106" i="17"/>
  <c r="S105" i="17"/>
  <c r="M93" i="17"/>
  <c r="M94" i="17"/>
  <c r="L7" i="8"/>
  <c r="L23" i="7"/>
  <c r="L26" i="8" s="1"/>
  <c r="L10" i="15"/>
  <c r="L3" i="15" s="1"/>
  <c r="L15" i="15" s="1"/>
  <c r="X184" i="16"/>
  <c r="AH132" i="16"/>
  <c r="AH133" i="16" s="1"/>
  <c r="O167" i="16"/>
  <c r="O168" i="16" s="1"/>
  <c r="V109" i="16"/>
  <c r="V108" i="16"/>
  <c r="F147" i="16"/>
  <c r="F211" i="16" s="1"/>
  <c r="AG274" i="16"/>
  <c r="AG275" i="16" s="1"/>
  <c r="AD198" i="16"/>
  <c r="G82" i="16"/>
  <c r="G140" i="16" s="1"/>
  <c r="G83" i="16"/>
  <c r="AE126" i="16"/>
  <c r="AE127" i="16" s="1"/>
  <c r="N21" i="16"/>
  <c r="N22" i="16" s="1"/>
  <c r="G151" i="16"/>
  <c r="G152" i="16"/>
  <c r="AF58" i="16"/>
  <c r="AB49" i="16"/>
  <c r="AB50" i="16" s="1"/>
  <c r="M90" i="16"/>
  <c r="M91" i="16"/>
  <c r="W325" i="16"/>
  <c r="W326" i="16" s="1"/>
  <c r="I14" i="17"/>
  <c r="W257" i="16"/>
  <c r="T250" i="16"/>
  <c r="T251" i="16" s="1"/>
  <c r="AI63" i="16"/>
  <c r="AI64" i="16"/>
  <c r="S100" i="16"/>
  <c r="S101" i="16" s="1"/>
  <c r="J158" i="16"/>
  <c r="J157" i="16"/>
  <c r="R174" i="16"/>
  <c r="R173" i="16"/>
  <c r="D23" i="7"/>
  <c r="D26" i="8" s="1"/>
  <c r="K23" i="7"/>
  <c r="K26" i="8" s="1"/>
  <c r="S316" i="16"/>
  <c r="K230" i="16"/>
  <c r="K231" i="16" s="1"/>
  <c r="AB264" i="16"/>
  <c r="AB265" i="16"/>
  <c r="S32" i="17"/>
  <c r="B189" i="16"/>
  <c r="B13" i="41"/>
  <c r="C7" i="9" s="1"/>
  <c r="E21" i="2" s="1"/>
  <c r="C29" i="7" s="1"/>
  <c r="O92" i="16"/>
  <c r="O93" i="16" s="1"/>
  <c r="B124" i="16"/>
  <c r="B118" i="16"/>
  <c r="B106" i="16"/>
  <c r="B116" i="16"/>
  <c r="B112" i="16"/>
  <c r="B110" i="16"/>
  <c r="N308" i="16"/>
  <c r="R10" i="15"/>
  <c r="R23" i="7"/>
  <c r="R26" i="8" s="1"/>
  <c r="R35" i="8" s="1"/>
  <c r="Y45" i="17"/>
  <c r="Y46" i="17"/>
  <c r="T106" i="16"/>
  <c r="T107" i="16" s="1"/>
  <c r="F289" i="16"/>
  <c r="F353" i="16" s="1"/>
  <c r="C15" i="15"/>
  <c r="AE131" i="17"/>
  <c r="AE132" i="17" s="1"/>
  <c r="AF131" i="17"/>
  <c r="Q29" i="17"/>
  <c r="Q30" i="17" s="1"/>
  <c r="B105" i="17"/>
  <c r="B107" i="17"/>
  <c r="B123" i="17"/>
  <c r="Z10" i="15"/>
  <c r="AI349" i="16"/>
  <c r="AI350" i="16" s="1"/>
  <c r="T10" i="15"/>
  <c r="T23" i="7"/>
  <c r="T26" i="8" s="1"/>
  <c r="T35" i="8" s="1"/>
  <c r="Y258" i="16"/>
  <c r="Y259" i="16"/>
  <c r="AB192" i="16"/>
  <c r="D27" i="10"/>
  <c r="D26" i="10"/>
  <c r="D25" i="10" s="1"/>
  <c r="AG62" i="16"/>
  <c r="G293" i="16"/>
  <c r="G294" i="16"/>
  <c r="M306" i="16"/>
  <c r="F218" i="16"/>
  <c r="F282" i="16" s="1"/>
  <c r="H224" i="16"/>
  <c r="H225" i="16" s="1"/>
  <c r="Y23" i="7"/>
  <c r="Y26" i="8" s="1"/>
  <c r="Y35" i="8" s="1"/>
  <c r="Y7" i="8"/>
  <c r="E72" i="16"/>
  <c r="X185" i="16"/>
  <c r="T218" i="46"/>
  <c r="K218" i="46"/>
  <c r="J218" i="46"/>
  <c r="T120" i="46"/>
  <c r="K120" i="46"/>
  <c r="T233" i="46"/>
  <c r="J233" i="46"/>
  <c r="O1" i="10"/>
  <c r="N10" i="10"/>
  <c r="U23" i="7"/>
  <c r="U26" i="8" s="1"/>
  <c r="I297" i="16"/>
  <c r="I298" i="16" s="1"/>
  <c r="V182" i="16"/>
  <c r="L161" i="16"/>
  <c r="L162" i="16" s="1"/>
  <c r="U253" i="16"/>
  <c r="T146" i="46"/>
  <c r="T75" i="46"/>
  <c r="J75" i="46"/>
  <c r="K75" i="46" s="1"/>
  <c r="O278" i="46"/>
  <c r="Q11" i="46"/>
  <c r="P11" i="46"/>
  <c r="J241" i="46"/>
  <c r="K241" i="46" s="1"/>
  <c r="J203" i="46"/>
  <c r="K203" i="46" s="1"/>
  <c r="T77" i="46"/>
  <c r="K77" i="46"/>
  <c r="Y118" i="16"/>
  <c r="Y119" i="16" s="1"/>
  <c r="X29" i="10"/>
  <c r="W38" i="10"/>
  <c r="W39" i="10" s="1"/>
  <c r="Y188" i="16"/>
  <c r="AI65" i="16"/>
  <c r="AI66" i="16" s="1"/>
  <c r="H295" i="16"/>
  <c r="H296" i="16" s="1"/>
  <c r="V38" i="10"/>
  <c r="V39" i="10" s="1"/>
  <c r="AA61" i="10"/>
  <c r="K53" i="46"/>
  <c r="S19" i="46"/>
  <c r="S29" i="46"/>
  <c r="J29" i="46"/>
  <c r="K239" i="46"/>
  <c r="V111" i="16"/>
  <c r="G10" i="2"/>
  <c r="J10" i="15"/>
  <c r="J3" i="15" s="1"/>
  <c r="J15" i="15" s="1"/>
  <c r="S38" i="10"/>
  <c r="S39" i="10" s="1"/>
  <c r="U38" i="10"/>
  <c r="U39" i="10" s="1"/>
  <c r="R61" i="10"/>
  <c r="AE199" i="16"/>
  <c r="AE200" i="16" s="1"/>
  <c r="T103" i="46"/>
  <c r="J103" i="46"/>
  <c r="K103" i="46" s="1"/>
  <c r="G14" i="2"/>
  <c r="L18" i="16"/>
  <c r="AD342" i="16"/>
  <c r="S320" i="16"/>
  <c r="T159" i="46"/>
  <c r="J159" i="46"/>
  <c r="K159" i="46" s="1"/>
  <c r="K91" i="46"/>
  <c r="K144" i="46"/>
  <c r="T144" i="46"/>
  <c r="S47" i="46"/>
  <c r="K47" i="46"/>
  <c r="J178" i="46"/>
  <c r="K178" i="46" s="1"/>
  <c r="K269" i="46"/>
  <c r="T269" i="46"/>
  <c r="J88" i="16"/>
  <c r="J89" i="16" s="1"/>
  <c r="K88" i="16" s="1"/>
  <c r="AC123" i="16"/>
  <c r="G15" i="2"/>
  <c r="T38" i="10"/>
  <c r="T39" i="10" s="1"/>
  <c r="F59" i="10"/>
  <c r="Q171" i="16"/>
  <c r="Q172" i="16" s="1"/>
  <c r="T179" i="16"/>
  <c r="T180" i="16" s="1"/>
  <c r="U179" i="16"/>
  <c r="K189" i="46"/>
  <c r="K70" i="46"/>
  <c r="J70" i="46"/>
  <c r="T185" i="46"/>
  <c r="J185" i="46"/>
  <c r="K185" i="46" s="1"/>
  <c r="K132" i="46"/>
  <c r="T132" i="46"/>
  <c r="T130" i="46"/>
  <c r="J130" i="46"/>
  <c r="K130" i="46"/>
  <c r="S35" i="46"/>
  <c r="K35" i="46"/>
  <c r="K33" i="46"/>
  <c r="AD197" i="16"/>
  <c r="G11" i="2"/>
  <c r="Z189" i="16"/>
  <c r="Z190" i="16" s="1"/>
  <c r="AA48" i="16"/>
  <c r="Z118" i="16"/>
  <c r="Q39" i="10"/>
  <c r="S175" i="16"/>
  <c r="S176" i="16" s="1"/>
  <c r="AC61" i="10"/>
  <c r="W185" i="16"/>
  <c r="W186" i="16" s="1"/>
  <c r="K233" i="46"/>
  <c r="J46" i="46"/>
  <c r="K46" i="46" s="1"/>
  <c r="S46" i="46"/>
  <c r="T148" i="46"/>
  <c r="J120" i="46"/>
  <c r="J175" i="46"/>
  <c r="K175" i="46" s="1"/>
  <c r="K146" i="46"/>
  <c r="K134" i="46"/>
  <c r="T116" i="46"/>
  <c r="J116" i="46"/>
  <c r="K116" i="46" s="1"/>
  <c r="K211" i="46"/>
  <c r="K206" i="46"/>
  <c r="J134" i="46"/>
  <c r="K253" i="46"/>
  <c r="K90" i="46"/>
  <c r="J138" i="46"/>
  <c r="K138" i="46" s="1"/>
  <c r="K238" i="46"/>
  <c r="J133" i="46"/>
  <c r="K133" i="46" s="1"/>
  <c r="K243" i="46"/>
  <c r="J273" i="46"/>
  <c r="K273" i="46" s="1"/>
  <c r="K61" i="46"/>
  <c r="S24" i="46"/>
  <c r="K213" i="46"/>
  <c r="T220" i="46"/>
  <c r="J263" i="46"/>
  <c r="K263" i="46" s="1"/>
  <c r="J79" i="46"/>
  <c r="K79" i="46" s="1"/>
  <c r="F4" i="39"/>
  <c r="J4" i="39" s="1"/>
  <c r="J49" i="46"/>
  <c r="K49" i="46" s="1"/>
  <c r="T134" i="46"/>
  <c r="J250" i="46"/>
  <c r="K250" i="46" s="1"/>
  <c r="J238" i="46"/>
  <c r="K81" i="46"/>
  <c r="T94" i="46"/>
  <c r="K161" i="46"/>
  <c r="J141" i="46"/>
  <c r="K141" i="46" s="1"/>
  <c r="T141" i="46"/>
  <c r="M4" i="39"/>
  <c r="K189" i="43"/>
  <c r="K270" i="46"/>
  <c r="T157" i="46"/>
  <c r="K157" i="46"/>
  <c r="S37" i="46"/>
  <c r="J37" i="46"/>
  <c r="K37" i="46" s="1"/>
  <c r="K129" i="46"/>
  <c r="K94" i="46"/>
  <c r="J58" i="46"/>
  <c r="K58" i="46" s="1"/>
  <c r="K31" i="46"/>
  <c r="J266" i="46"/>
  <c r="K266" i="46" s="1"/>
  <c r="J169" i="46"/>
  <c r="K169" i="46" s="1"/>
  <c r="K57" i="46"/>
  <c r="J168" i="46"/>
  <c r="K168" i="46" s="1"/>
  <c r="S31" i="46"/>
  <c r="K64" i="46"/>
  <c r="T262" i="46"/>
  <c r="J56" i="46"/>
  <c r="K56" i="46"/>
  <c r="K210" i="46"/>
  <c r="J101" i="46"/>
  <c r="K101" i="46" s="1"/>
  <c r="T101" i="46"/>
  <c r="J211" i="46"/>
  <c r="K270" i="43"/>
  <c r="K271" i="43"/>
  <c r="K272" i="43"/>
  <c r="J65" i="43"/>
  <c r="K65" i="43" s="1"/>
  <c r="A268" i="16"/>
  <c r="A281" i="16"/>
  <c r="K230" i="43"/>
  <c r="A276" i="16"/>
  <c r="A277" i="16"/>
  <c r="AA52" i="16"/>
  <c r="A183" i="16"/>
  <c r="A184" i="16"/>
  <c r="K157" i="43"/>
  <c r="A157" i="16"/>
  <c r="K62" i="43"/>
  <c r="K177" i="43"/>
  <c r="A188" i="16"/>
  <c r="A187" i="16"/>
  <c r="A240" i="16"/>
  <c r="A241" i="16"/>
  <c r="A80" i="16"/>
  <c r="A81" i="16"/>
  <c r="A102" i="16"/>
  <c r="A103" i="16"/>
  <c r="A190" i="16"/>
  <c r="A189" i="16"/>
  <c r="AD58" i="17"/>
  <c r="A126" i="16"/>
  <c r="A127" i="16"/>
  <c r="A263" i="16"/>
  <c r="A262" i="16"/>
  <c r="T119" i="46"/>
  <c r="T173" i="46"/>
  <c r="T191" i="46"/>
  <c r="A125" i="16"/>
  <c r="M165" i="16"/>
  <c r="M166" i="16" s="1"/>
  <c r="T255" i="46"/>
  <c r="A133" i="16"/>
  <c r="A206" i="16"/>
  <c r="T117" i="46"/>
  <c r="A96" i="16"/>
  <c r="A256" i="16"/>
  <c r="A352" i="16"/>
  <c r="H33" i="8"/>
  <c r="T123" i="46"/>
  <c r="T149" i="46"/>
  <c r="T158" i="46"/>
  <c r="T171" i="46"/>
  <c r="T229" i="46"/>
  <c r="T239" i="46"/>
  <c r="T246" i="46"/>
  <c r="G6" i="39"/>
  <c r="G5" i="39"/>
  <c r="T89" i="46"/>
  <c r="T206" i="46"/>
  <c r="S33" i="46"/>
  <c r="T187" i="46"/>
  <c r="T223" i="46"/>
  <c r="T230" i="46"/>
  <c r="T243" i="46"/>
  <c r="T99" i="46"/>
  <c r="T175" i="46"/>
  <c r="T203" i="46"/>
  <c r="T207" i="46"/>
  <c r="Y33" i="29"/>
  <c r="K33" i="29"/>
  <c r="T67" i="46"/>
  <c r="T14" i="46" s="1"/>
  <c r="D24" i="9" s="1"/>
  <c r="D23" i="9" s="1"/>
  <c r="T231" i="46"/>
  <c r="C127" i="17"/>
  <c r="K232" i="43" l="1"/>
  <c r="K193" i="43"/>
  <c r="K131" i="43"/>
  <c r="K71" i="43"/>
  <c r="K211" i="43"/>
  <c r="K156" i="43"/>
  <c r="K223" i="43"/>
  <c r="K158" i="43"/>
  <c r="K73" i="43"/>
  <c r="K52" i="43"/>
  <c r="K184" i="43"/>
  <c r="K72" i="43"/>
  <c r="K109" i="43"/>
  <c r="K107" i="43"/>
  <c r="K26" i="43"/>
  <c r="K228" i="43"/>
  <c r="K63" i="43"/>
  <c r="H156" i="43"/>
  <c r="H49" i="43"/>
  <c r="H209" i="43"/>
  <c r="H83" i="43"/>
  <c r="H248" i="43"/>
  <c r="H158" i="43"/>
  <c r="H261" i="43"/>
  <c r="H246" i="43"/>
  <c r="H146" i="43"/>
  <c r="H133" i="43"/>
  <c r="H191" i="43"/>
  <c r="H119" i="43"/>
  <c r="H196" i="43"/>
  <c r="H118" i="43"/>
  <c r="H129" i="43"/>
  <c r="H266" i="43"/>
  <c r="H73" i="43"/>
  <c r="H262" i="43"/>
  <c r="H53" i="43"/>
  <c r="H102" i="43"/>
  <c r="H57" i="43"/>
  <c r="H47" i="43"/>
  <c r="H170" i="43"/>
  <c r="H101" i="43"/>
  <c r="H70" i="43"/>
  <c r="H225" i="43"/>
  <c r="H236" i="43"/>
  <c r="H77" i="43"/>
  <c r="H59" i="43"/>
  <c r="H224" i="43"/>
  <c r="H180" i="43"/>
  <c r="H24" i="43"/>
  <c r="H213" i="43"/>
  <c r="H98" i="43"/>
  <c r="H26" i="43"/>
  <c r="H194" i="43"/>
  <c r="H40" i="43"/>
  <c r="H238" i="43"/>
  <c r="H240" i="43"/>
  <c r="H76" i="43"/>
  <c r="H38" i="43"/>
  <c r="H185" i="43"/>
  <c r="H44" i="43"/>
  <c r="H241" i="43"/>
  <c r="H227" i="43"/>
  <c r="H123" i="43"/>
  <c r="H93" i="43"/>
  <c r="H143" i="43"/>
  <c r="H172" i="43"/>
  <c r="H142" i="43"/>
  <c r="H189" i="43"/>
  <c r="H244" i="43"/>
  <c r="H23" i="43"/>
  <c r="H251" i="43"/>
  <c r="H176" i="43"/>
  <c r="H19" i="43"/>
  <c r="H67" i="43"/>
  <c r="H29" i="43"/>
  <c r="H85" i="43"/>
  <c r="H31" i="43"/>
  <c r="H253" i="43"/>
  <c r="H256" i="43"/>
  <c r="H50" i="43"/>
  <c r="H121" i="43"/>
  <c r="H219" i="43"/>
  <c r="H270" i="43"/>
  <c r="H20" i="43"/>
  <c r="H275" i="43"/>
  <c r="H79" i="43"/>
  <c r="H212" i="43"/>
  <c r="H131" i="43"/>
  <c r="H37" i="43"/>
  <c r="H265" i="43"/>
  <c r="H82" i="43"/>
  <c r="H254" i="43"/>
  <c r="H188" i="43"/>
  <c r="H58" i="43"/>
  <c r="H249" i="43"/>
  <c r="H167" i="43"/>
  <c r="H137" i="43"/>
  <c r="H145" i="43"/>
  <c r="H22" i="43"/>
  <c r="H71" i="43"/>
  <c r="H60" i="43"/>
  <c r="H260" i="43"/>
  <c r="H132" i="43"/>
  <c r="H68" i="43"/>
  <c r="H48" i="43"/>
  <c r="H78" i="43"/>
  <c r="H192" i="43"/>
  <c r="H128" i="43"/>
  <c r="H179" i="43"/>
  <c r="H28" i="43"/>
  <c r="H72" i="43"/>
  <c r="H86" i="43"/>
  <c r="H242" i="43"/>
  <c r="H25" i="43"/>
  <c r="H178" i="43"/>
  <c r="H100" i="43"/>
  <c r="H199" i="43"/>
  <c r="H104" i="43"/>
  <c r="H257" i="43"/>
  <c r="H258" i="43"/>
  <c r="H96" i="43"/>
  <c r="H141" i="43"/>
  <c r="H171" i="43"/>
  <c r="H55" i="43"/>
  <c r="H235" i="43"/>
  <c r="H43" i="43"/>
  <c r="H64" i="43"/>
  <c r="H230" i="43"/>
  <c r="H65" i="43"/>
  <c r="H223" i="43"/>
  <c r="H124" i="43"/>
  <c r="H136" i="43"/>
  <c r="H173" i="43"/>
  <c r="H205" i="43"/>
  <c r="H152" i="43"/>
  <c r="H103" i="43"/>
  <c r="H150" i="43"/>
  <c r="H30" i="43"/>
  <c r="H99" i="43"/>
  <c r="H239" i="43"/>
  <c r="H269" i="43"/>
  <c r="H34" i="43"/>
  <c r="H222" i="43"/>
  <c r="H155" i="43"/>
  <c r="H243" i="43"/>
  <c r="H195" i="43"/>
  <c r="H162" i="43"/>
  <c r="H234" i="43"/>
  <c r="H182" i="43"/>
  <c r="H54" i="43"/>
  <c r="H186" i="43"/>
  <c r="H88" i="43"/>
  <c r="H105" i="43"/>
  <c r="H166" i="43"/>
  <c r="H115" i="43"/>
  <c r="H114" i="43"/>
  <c r="H130" i="43"/>
  <c r="H21" i="43"/>
  <c r="H112" i="43"/>
  <c r="H206" i="43"/>
  <c r="H237" i="43"/>
  <c r="H27" i="43"/>
  <c r="H149" i="43"/>
  <c r="H125" i="43"/>
  <c r="H46" i="43"/>
  <c r="H41" i="43"/>
  <c r="H144" i="43"/>
  <c r="H210" i="43"/>
  <c r="H122" i="43"/>
  <c r="H91" i="43"/>
  <c r="H181" i="43"/>
  <c r="H135" i="43"/>
  <c r="H75" i="43"/>
  <c r="H148" i="43"/>
  <c r="H45" i="43"/>
  <c r="H175" i="43"/>
  <c r="H161" i="43"/>
  <c r="H61" i="43"/>
  <c r="H80" i="43"/>
  <c r="H231" i="43"/>
  <c r="H177" i="43"/>
  <c r="H66" i="43"/>
  <c r="H216" i="43"/>
  <c r="H200" i="43"/>
  <c r="H250" i="43"/>
  <c r="H217" i="43"/>
  <c r="H264" i="43"/>
  <c r="H95" i="43"/>
  <c r="H263" i="43"/>
  <c r="H208" i="43"/>
  <c r="H202" i="43"/>
  <c r="H226" i="43"/>
  <c r="H32" i="43"/>
  <c r="H134" i="43"/>
  <c r="H94" i="43"/>
  <c r="H267" i="43"/>
  <c r="H190" i="43"/>
  <c r="K265" i="43"/>
  <c r="P11" i="43"/>
  <c r="K221" i="43"/>
  <c r="K163" i="43"/>
  <c r="J122" i="43"/>
  <c r="K122" i="43" s="1"/>
  <c r="J245" i="43"/>
  <c r="K245" i="43" s="1"/>
  <c r="J185" i="43"/>
  <c r="K185" i="43" s="1"/>
  <c r="J97" i="43"/>
  <c r="K97" i="43" s="1"/>
  <c r="J149" i="43"/>
  <c r="K149" i="43" s="1"/>
  <c r="J53" i="43"/>
  <c r="K53" i="43" s="1"/>
  <c r="J253" i="43"/>
  <c r="K253" i="43" s="1"/>
  <c r="J257" i="43"/>
  <c r="K257" i="43" s="1"/>
  <c r="J215" i="43"/>
  <c r="K215" i="43" s="1"/>
  <c r="J89" i="43"/>
  <c r="K89" i="43" s="1"/>
  <c r="K43" i="43"/>
  <c r="K56" i="43"/>
  <c r="H274" i="43"/>
  <c r="H229" i="43"/>
  <c r="H273" i="43"/>
  <c r="H163" i="43"/>
  <c r="H107" i="43"/>
  <c r="H174" i="43"/>
  <c r="H117" i="43"/>
  <c r="H233" i="43"/>
  <c r="H259" i="43"/>
  <c r="H106" i="43"/>
  <c r="H245" i="43"/>
  <c r="H52" i="43"/>
  <c r="H164" i="43"/>
  <c r="J201" i="43"/>
  <c r="K201" i="43" s="1"/>
  <c r="J46" i="43"/>
  <c r="K46" i="43" s="1"/>
  <c r="J133" i="43"/>
  <c r="K133" i="43" s="1"/>
  <c r="J91" i="43"/>
  <c r="K91" i="43" s="1"/>
  <c r="J206" i="43"/>
  <c r="K206" i="43" s="1"/>
  <c r="J104" i="43"/>
  <c r="K104" i="43" s="1"/>
  <c r="J152" i="43"/>
  <c r="K152" i="43" s="1"/>
  <c r="J175" i="43"/>
  <c r="K175" i="43" s="1"/>
  <c r="J145" i="43"/>
  <c r="K145" i="43" s="1"/>
  <c r="J99" i="43"/>
  <c r="K99" i="43" s="1"/>
  <c r="J242" i="43"/>
  <c r="K242" i="43" s="1"/>
  <c r="J80" i="43"/>
  <c r="K80" i="43" s="1"/>
  <c r="J212" i="43"/>
  <c r="K212" i="43" s="1"/>
  <c r="J186" i="43"/>
  <c r="K186" i="43" s="1"/>
  <c r="J139" i="43"/>
  <c r="K139" i="43" s="1"/>
  <c r="J85" i="43"/>
  <c r="K85" i="43" s="1"/>
  <c r="J125" i="43"/>
  <c r="K125" i="43" s="1"/>
  <c r="J136" i="43"/>
  <c r="K136" i="43" s="1"/>
  <c r="J37" i="43"/>
  <c r="K37" i="43" s="1"/>
  <c r="J209" i="43"/>
  <c r="K209" i="43" s="1"/>
  <c r="J55" i="43"/>
  <c r="K55" i="43" s="1"/>
  <c r="J120" i="43"/>
  <c r="K120" i="43" s="1"/>
  <c r="J58" i="43"/>
  <c r="K58" i="43" s="1"/>
  <c r="J74" i="43"/>
  <c r="K74" i="43" s="1"/>
  <c r="I14" i="43"/>
  <c r="J167" i="43"/>
  <c r="K167" i="43" s="1"/>
  <c r="J39" i="43"/>
  <c r="K39" i="43" s="1"/>
  <c r="J150" i="43"/>
  <c r="K150" i="43" s="1"/>
  <c r="J268" i="43"/>
  <c r="K268" i="43" s="1"/>
  <c r="J196" i="43"/>
  <c r="K196" i="43" s="1"/>
  <c r="J231" i="43"/>
  <c r="K231" i="43" s="1"/>
  <c r="J254" i="43"/>
  <c r="K254" i="43" s="1"/>
  <c r="J164" i="43"/>
  <c r="K164" i="43" s="1"/>
  <c r="J243" i="43"/>
  <c r="K243" i="43" s="1"/>
  <c r="J121" i="43"/>
  <c r="K121" i="43" s="1"/>
  <c r="J113" i="43"/>
  <c r="K113" i="43" s="1"/>
  <c r="J216" i="43"/>
  <c r="K216" i="43" s="1"/>
  <c r="J217" i="43"/>
  <c r="K217" i="43" s="1"/>
  <c r="J205" i="43"/>
  <c r="K205" i="43" s="1"/>
  <c r="J218" i="43"/>
  <c r="K218" i="43" s="1"/>
  <c r="J241" i="43"/>
  <c r="K241" i="43" s="1"/>
  <c r="J170" i="43"/>
  <c r="K170" i="43" s="1"/>
  <c r="J112" i="43"/>
  <c r="K112" i="43" s="1"/>
  <c r="J251" i="43"/>
  <c r="K251" i="43" s="1"/>
  <c r="J105" i="43"/>
  <c r="K105" i="43" s="1"/>
  <c r="J28" i="43"/>
  <c r="K28" i="43" s="1"/>
  <c r="J264" i="43"/>
  <c r="K264" i="43" s="1"/>
  <c r="J194" i="43"/>
  <c r="K194" i="43" s="1"/>
  <c r="J100" i="43"/>
  <c r="K100" i="43" s="1"/>
  <c r="J179" i="43"/>
  <c r="K179" i="43" s="1"/>
  <c r="J267" i="43"/>
  <c r="K267" i="43" s="1"/>
  <c r="J84" i="43"/>
  <c r="K84" i="43" s="1"/>
  <c r="J169" i="43"/>
  <c r="K169" i="43" s="1"/>
  <c r="J76" i="43"/>
  <c r="K76" i="43" s="1"/>
  <c r="J147" i="43"/>
  <c r="K147" i="43" s="1"/>
  <c r="J127" i="43"/>
  <c r="K127" i="43" s="1"/>
  <c r="J61" i="43"/>
  <c r="K61" i="43" s="1"/>
  <c r="J224" i="43"/>
  <c r="K224" i="43" s="1"/>
  <c r="J51" i="43"/>
  <c r="K51" i="43" s="1"/>
  <c r="J248" i="43"/>
  <c r="K248" i="43" s="1"/>
  <c r="J42" i="43"/>
  <c r="K42" i="43" s="1"/>
  <c r="J70" i="43"/>
  <c r="K70" i="43" s="1"/>
  <c r="J200" i="43"/>
  <c r="K200" i="43" s="1"/>
  <c r="J141" i="43"/>
  <c r="K141" i="43" s="1"/>
  <c r="J190" i="43"/>
  <c r="K190" i="43" s="1"/>
  <c r="J244" i="43"/>
  <c r="K244" i="43" s="1"/>
  <c r="J229" i="43"/>
  <c r="K229" i="43" s="1"/>
  <c r="J161" i="43"/>
  <c r="K161" i="43" s="1"/>
  <c r="H255" i="43"/>
  <c r="H198" i="43"/>
  <c r="H56" i="43"/>
  <c r="H90" i="43"/>
  <c r="H39" i="43"/>
  <c r="H201" i="43"/>
  <c r="H116" i="43"/>
  <c r="H151" i="43"/>
  <c r="H113" i="43"/>
  <c r="H203" i="43"/>
  <c r="H193" i="43"/>
  <c r="H147" i="43"/>
  <c r="H81" i="43"/>
  <c r="H252" i="43"/>
  <c r="H33" i="43"/>
  <c r="H221" i="43"/>
  <c r="H87" i="43"/>
  <c r="H89" i="43"/>
  <c r="H84" i="43"/>
  <c r="H215" i="43"/>
  <c r="H109" i="43"/>
  <c r="H154" i="43"/>
  <c r="H120" i="43"/>
  <c r="H228" i="43"/>
  <c r="H110" i="43"/>
  <c r="H169" i="43"/>
  <c r="H108" i="43"/>
  <c r="H184" i="43"/>
  <c r="H232" i="43"/>
  <c r="H220" i="43"/>
  <c r="H165" i="43"/>
  <c r="H159" i="43"/>
  <c r="J130" i="43"/>
  <c r="K130" i="43" s="1"/>
  <c r="J250" i="43"/>
  <c r="K250" i="43" s="1"/>
  <c r="J40" i="43"/>
  <c r="K40" i="43" s="1"/>
  <c r="J81" i="43"/>
  <c r="K81" i="43" s="1"/>
  <c r="J92" i="43"/>
  <c r="K92" i="43" s="1"/>
  <c r="J154" i="43"/>
  <c r="K154" i="43" s="1"/>
  <c r="J20" i="43"/>
  <c r="K20" i="43" s="1"/>
  <c r="J155" i="43"/>
  <c r="K155" i="43" s="1"/>
  <c r="J138" i="43"/>
  <c r="K138" i="43" s="1"/>
  <c r="J173" i="43"/>
  <c r="K173" i="43" s="1"/>
  <c r="J151" i="43"/>
  <c r="K151" i="43" s="1"/>
  <c r="J79" i="43"/>
  <c r="K79" i="43" s="1"/>
  <c r="J83" i="43"/>
  <c r="K83" i="43" s="1"/>
  <c r="K98" i="43"/>
  <c r="H272" i="43"/>
  <c r="H168" i="43"/>
  <c r="H139" i="43"/>
  <c r="H126" i="43"/>
  <c r="H218" i="43"/>
  <c r="H69" i="43"/>
  <c r="H160" i="43"/>
  <c r="H140" i="43"/>
  <c r="H183" i="43"/>
  <c r="H138" i="43"/>
  <c r="H92" i="43"/>
  <c r="H111" i="43"/>
  <c r="H36" i="43"/>
  <c r="H214" i="43"/>
  <c r="H51" i="43"/>
  <c r="H153" i="43"/>
  <c r="H197" i="43"/>
  <c r="H271" i="43"/>
  <c r="H97" i="43"/>
  <c r="H211" i="43"/>
  <c r="H74" i="43"/>
  <c r="H62" i="43"/>
  <c r="H247" i="43"/>
  <c r="H207" i="43"/>
  <c r="H35" i="43"/>
  <c r="H187" i="43"/>
  <c r="H127" i="43"/>
  <c r="H268" i="43"/>
  <c r="H42" i="43"/>
  <c r="H204" i="43"/>
  <c r="H63" i="43"/>
  <c r="J171" i="43"/>
  <c r="K171" i="43" s="1"/>
  <c r="J64" i="43"/>
  <c r="K64" i="43" s="1"/>
  <c r="J77" i="43"/>
  <c r="K77" i="43" s="1"/>
  <c r="J103" i="43"/>
  <c r="K103" i="43" s="1"/>
  <c r="J135" i="43"/>
  <c r="K135" i="43" s="1"/>
  <c r="J239" i="43"/>
  <c r="K239" i="43" s="1"/>
  <c r="J69" i="43"/>
  <c r="K69" i="43" s="1"/>
  <c r="J273" i="43"/>
  <c r="K273" i="43" s="1"/>
  <c r="J33" i="43"/>
  <c r="K33" i="43" s="1"/>
  <c r="J247" i="43"/>
  <c r="K247" i="43" s="1"/>
  <c r="J60" i="43"/>
  <c r="K60" i="43" s="1"/>
  <c r="J227" i="43"/>
  <c r="K227" i="43" s="1"/>
  <c r="J144" i="43"/>
  <c r="K144" i="43" s="1"/>
  <c r="Y43" i="17"/>
  <c r="Y44" i="17"/>
  <c r="J13" i="16"/>
  <c r="J14" i="16"/>
  <c r="L230" i="16"/>
  <c r="L231" i="16" s="1"/>
  <c r="T100" i="16"/>
  <c r="T101" i="16"/>
  <c r="S242" i="16"/>
  <c r="S243" i="16"/>
  <c r="AI55" i="16"/>
  <c r="AI56" i="16"/>
  <c r="S96" i="16"/>
  <c r="S97" i="16"/>
  <c r="P15" i="16"/>
  <c r="P16" i="16"/>
  <c r="AH45" i="16"/>
  <c r="AH46" i="16"/>
  <c r="P95" i="17"/>
  <c r="P96" i="17" s="1"/>
  <c r="AE119" i="17"/>
  <c r="AE120" i="17" s="1"/>
  <c r="AA41" i="16"/>
  <c r="AA42" i="16" s="1"/>
  <c r="K31" i="8"/>
  <c r="L31" i="8"/>
  <c r="R29" i="17"/>
  <c r="R30" i="17"/>
  <c r="AC50" i="16"/>
  <c r="AC49" i="16"/>
  <c r="V317" i="16"/>
  <c r="V318" i="16" s="1"/>
  <c r="U232" i="16"/>
  <c r="U233" i="16" s="1"/>
  <c r="AH274" i="16"/>
  <c r="AH275" i="16" s="1"/>
  <c r="Q25" i="16"/>
  <c r="Q26" i="16" s="1"/>
  <c r="T313" i="16"/>
  <c r="T314" i="16" s="1"/>
  <c r="W309" i="16"/>
  <c r="W310" i="16" s="1"/>
  <c r="AC49" i="17"/>
  <c r="AC50" i="17" s="1"/>
  <c r="P23" i="17"/>
  <c r="P24" i="17"/>
  <c r="X29" i="16"/>
  <c r="X30" i="16" s="1"/>
  <c r="AA103" i="16"/>
  <c r="AA102" i="16"/>
  <c r="Z111" i="17"/>
  <c r="Z112" i="17" s="1"/>
  <c r="O21" i="16"/>
  <c r="O22" i="16" s="1"/>
  <c r="O234" i="16"/>
  <c r="O235" i="16" s="1"/>
  <c r="M161" i="16"/>
  <c r="M162" i="16" s="1"/>
  <c r="U106" i="16"/>
  <c r="U107" i="16" s="1"/>
  <c r="X325" i="16"/>
  <c r="X326" i="16" s="1"/>
  <c r="AF126" i="16"/>
  <c r="AF127" i="16" s="1"/>
  <c r="P167" i="16"/>
  <c r="P168" i="16" s="1"/>
  <c r="M17" i="17"/>
  <c r="M18" i="17" s="1"/>
  <c r="AF56" i="17"/>
  <c r="AF55" i="17"/>
  <c r="T33" i="17"/>
  <c r="T34" i="17" s="1"/>
  <c r="K291" i="16"/>
  <c r="K292" i="16" s="1"/>
  <c r="AF327" i="16"/>
  <c r="AF328" i="16" s="1"/>
  <c r="AD37" i="16"/>
  <c r="AD38" i="16" s="1"/>
  <c r="P92" i="16"/>
  <c r="P93" i="16" s="1"/>
  <c r="AH60" i="17"/>
  <c r="AH59" i="17"/>
  <c r="AD51" i="17"/>
  <c r="AD52" i="17"/>
  <c r="AF120" i="16"/>
  <c r="AF121" i="16" s="1"/>
  <c r="T175" i="16"/>
  <c r="T176" i="16" s="1"/>
  <c r="U250" i="16"/>
  <c r="U251" i="16" s="1"/>
  <c r="N19" i="17"/>
  <c r="N20" i="17"/>
  <c r="S98" i="16"/>
  <c r="S99" i="16" s="1"/>
  <c r="AA330" i="16"/>
  <c r="AA329" i="16"/>
  <c r="AE43" i="16"/>
  <c r="AE44" i="16" s="1"/>
  <c r="AH333" i="16"/>
  <c r="AH334" i="16" s="1"/>
  <c r="I80" i="16"/>
  <c r="I81" i="16" s="1"/>
  <c r="AA189" i="16"/>
  <c r="AA190" i="16"/>
  <c r="I224" i="16"/>
  <c r="I225" i="16"/>
  <c r="AI132" i="16"/>
  <c r="AI133" i="16"/>
  <c r="V35" i="17"/>
  <c r="V36" i="17"/>
  <c r="AD125" i="17"/>
  <c r="AD126" i="17"/>
  <c r="AD335" i="16"/>
  <c r="AD336" i="16"/>
  <c r="Q236" i="16"/>
  <c r="Q237" i="16" s="1"/>
  <c r="Y33" i="16"/>
  <c r="Y34" i="16"/>
  <c r="J31" i="8"/>
  <c r="AC127" i="17"/>
  <c r="AC128" i="17" s="1"/>
  <c r="AD127" i="17"/>
  <c r="I5" i="39"/>
  <c r="M5" i="39" s="1"/>
  <c r="H5" i="39"/>
  <c r="L5" i="39" s="1"/>
  <c r="K5" i="39"/>
  <c r="B136" i="16"/>
  <c r="B128" i="16"/>
  <c r="B132" i="16"/>
  <c r="B134" i="16"/>
  <c r="B126" i="16"/>
  <c r="B130" i="16"/>
  <c r="B138" i="16"/>
  <c r="K157" i="16"/>
  <c r="K158" i="16"/>
  <c r="J13" i="17"/>
  <c r="J14" i="17"/>
  <c r="AE197" i="16"/>
  <c r="AE198" i="16" s="1"/>
  <c r="N93" i="17"/>
  <c r="N94" i="17"/>
  <c r="AH133" i="17"/>
  <c r="AH134" i="17"/>
  <c r="C13" i="10"/>
  <c r="C60" i="10"/>
  <c r="K155" i="16"/>
  <c r="K156" i="16" s="1"/>
  <c r="AI135" i="16"/>
  <c r="AI134" i="16"/>
  <c r="T23" i="16"/>
  <c r="T24" i="16" s="1"/>
  <c r="Y249" i="16"/>
  <c r="Y248" i="16"/>
  <c r="O300" i="16"/>
  <c r="O299" i="16"/>
  <c r="Z105" i="16"/>
  <c r="Z104" i="16"/>
  <c r="O84" i="16"/>
  <c r="O85" i="16" s="1"/>
  <c r="Q160" i="16"/>
  <c r="Q159" i="16"/>
  <c r="P220" i="16"/>
  <c r="P221" i="16"/>
  <c r="H293" i="16"/>
  <c r="H294" i="16"/>
  <c r="AD122" i="16"/>
  <c r="AD123" i="16" s="1"/>
  <c r="M17" i="16"/>
  <c r="M18" i="16" s="1"/>
  <c r="J17" i="15"/>
  <c r="J18" i="15"/>
  <c r="Y29" i="10"/>
  <c r="X38" i="10"/>
  <c r="X39" i="10" s="1"/>
  <c r="V252" i="16"/>
  <c r="V253" i="16"/>
  <c r="F72" i="16"/>
  <c r="E363" i="16"/>
  <c r="Z258" i="16"/>
  <c r="Z259" i="16" s="1"/>
  <c r="C17" i="15"/>
  <c r="C18" i="15"/>
  <c r="C19" i="15" s="1"/>
  <c r="H152" i="16"/>
  <c r="H151" i="16"/>
  <c r="P35" i="8"/>
  <c r="Q35" i="8"/>
  <c r="L9" i="17"/>
  <c r="L10" i="17" s="1"/>
  <c r="AD262" i="16"/>
  <c r="AD263" i="16" s="1"/>
  <c r="K87" i="16"/>
  <c r="K86" i="16"/>
  <c r="H6" i="39"/>
  <c r="L6" i="39" s="1"/>
  <c r="K6" i="39"/>
  <c r="I6" i="39"/>
  <c r="M6" i="39" s="1"/>
  <c r="N165" i="16"/>
  <c r="N166" i="16" s="1"/>
  <c r="AB51" i="16"/>
  <c r="AB52" i="16" s="1"/>
  <c r="AB47" i="16"/>
  <c r="AB48" i="16" s="1"/>
  <c r="Z119" i="16"/>
  <c r="N305" i="16"/>
  <c r="N306" i="16"/>
  <c r="AC260" i="16"/>
  <c r="AC261" i="16" s="1"/>
  <c r="E18" i="15"/>
  <c r="E17" i="15"/>
  <c r="G147" i="17"/>
  <c r="U311" i="16"/>
  <c r="U312" i="16" s="1"/>
  <c r="R25" i="17"/>
  <c r="R26" i="17" s="1"/>
  <c r="AB39" i="17"/>
  <c r="AB40" i="17" s="1"/>
  <c r="S21" i="17"/>
  <c r="S22" i="17" s="1"/>
  <c r="AE117" i="17"/>
  <c r="AE118" i="17" s="1"/>
  <c r="AH54" i="17"/>
  <c r="AH53" i="17"/>
  <c r="O10" i="8"/>
  <c r="Q35" i="2"/>
  <c r="Y15" i="10"/>
  <c r="X24" i="10"/>
  <c r="X25" i="10" s="1"/>
  <c r="W182" i="16"/>
  <c r="W181" i="16"/>
  <c r="F290" i="16"/>
  <c r="O307" i="16"/>
  <c r="O308" i="16"/>
  <c r="T315" i="16"/>
  <c r="T316" i="16" s="1"/>
  <c r="F8" i="16"/>
  <c r="T240" i="16"/>
  <c r="T241" i="16" s="1"/>
  <c r="Y113" i="17"/>
  <c r="Y114" i="17" s="1"/>
  <c r="I149" i="16"/>
  <c r="I150" i="16" s="1"/>
  <c r="AB331" i="16"/>
  <c r="AB332" i="16" s="1"/>
  <c r="AG128" i="16"/>
  <c r="AG129" i="16" s="1"/>
  <c r="P163" i="16"/>
  <c r="P164" i="16" s="1"/>
  <c r="U36" i="16"/>
  <c r="U35" i="16"/>
  <c r="AG48" i="17"/>
  <c r="AG47" i="17"/>
  <c r="P302" i="16"/>
  <c r="P301" i="16"/>
  <c r="P144" i="17"/>
  <c r="O150" i="17"/>
  <c r="S303" i="16"/>
  <c r="S304" i="16" s="1"/>
  <c r="AH41" i="17"/>
  <c r="AH42" i="17" s="1"/>
  <c r="Q87" i="17"/>
  <c r="Q88" i="17"/>
  <c r="O43" i="29"/>
  <c r="O13" i="15"/>
  <c r="O12" i="15" s="1"/>
  <c r="O8" i="7"/>
  <c r="O22" i="8" s="1"/>
  <c r="O79" i="16"/>
  <c r="O78" i="16"/>
  <c r="T99" i="17"/>
  <c r="T100" i="17"/>
  <c r="AA113" i="16"/>
  <c r="AA112" i="16"/>
  <c r="AE193" i="16"/>
  <c r="AE194" i="16" s="1"/>
  <c r="AI59" i="16"/>
  <c r="AI60" i="16" s="1"/>
  <c r="AF195" i="16"/>
  <c r="AF196" i="16" s="1"/>
  <c r="T94" i="16"/>
  <c r="T95" i="16" s="1"/>
  <c r="J76" i="16"/>
  <c r="J77" i="16" s="1"/>
  <c r="O11" i="16"/>
  <c r="O12" i="16"/>
  <c r="N84" i="17"/>
  <c r="N83" i="17"/>
  <c r="N43" i="29"/>
  <c r="N13" i="15"/>
  <c r="N12" i="15" s="1"/>
  <c r="N8" i="7" s="1"/>
  <c r="N22" i="8" s="1"/>
  <c r="O15" i="15"/>
  <c r="F21" i="2"/>
  <c r="D29" i="7" s="1"/>
  <c r="T105" i="17"/>
  <c r="T106" i="17" s="1"/>
  <c r="G41" i="10"/>
  <c r="G40" i="10"/>
  <c r="G39" i="10" s="1"/>
  <c r="M91" i="17"/>
  <c r="M92" i="17" s="1"/>
  <c r="AG35" i="8"/>
  <c r="K77" i="17"/>
  <c r="X186" i="16"/>
  <c r="R171" i="16"/>
  <c r="R172" i="16" s="1"/>
  <c r="AF199" i="16"/>
  <c r="AF200" i="16"/>
  <c r="U35" i="8"/>
  <c r="AH61" i="16"/>
  <c r="AH62" i="16" s="1"/>
  <c r="D35" i="8"/>
  <c r="E35" i="8"/>
  <c r="F148" i="16"/>
  <c r="L17" i="15"/>
  <c r="L18" i="15"/>
  <c r="AH345" i="16"/>
  <c r="AH346" i="16" s="1"/>
  <c r="AA115" i="17"/>
  <c r="AA116" i="17" s="1"/>
  <c r="F142" i="17"/>
  <c r="F148" i="17" s="1"/>
  <c r="D13" i="7" s="1"/>
  <c r="G79" i="17"/>
  <c r="G141" i="17" s="1"/>
  <c r="G80" i="17"/>
  <c r="Y254" i="16"/>
  <c r="Y255" i="16"/>
  <c r="T101" i="17"/>
  <c r="T102" i="17" s="1"/>
  <c r="AC115" i="16"/>
  <c r="AC114" i="16"/>
  <c r="T27" i="16"/>
  <c r="T28" i="16" s="1"/>
  <c r="AF53" i="16"/>
  <c r="AF54" i="16" s="1"/>
  <c r="T170" i="16"/>
  <c r="T169" i="16"/>
  <c r="I31" i="8"/>
  <c r="K15" i="15"/>
  <c r="AD52" i="10"/>
  <c r="AD53" i="10" s="1"/>
  <c r="AE43" i="10"/>
  <c r="E24" i="7"/>
  <c r="E27" i="8" s="1"/>
  <c r="Q9" i="46"/>
  <c r="P9" i="46"/>
  <c r="U180" i="16"/>
  <c r="I295" i="16"/>
  <c r="I296" i="16"/>
  <c r="N90" i="16"/>
  <c r="N91" i="16" s="1"/>
  <c r="Y183" i="16"/>
  <c r="Y184" i="16" s="1"/>
  <c r="F360" i="16"/>
  <c r="F19" i="2" s="1"/>
  <c r="H54" i="10"/>
  <c r="H53" i="10" s="1"/>
  <c r="H55" i="10" s="1"/>
  <c r="H7" i="17"/>
  <c r="H69" i="17" s="1"/>
  <c r="G70" i="17"/>
  <c r="T246" i="16"/>
  <c r="T247" i="16" s="1"/>
  <c r="K29" i="46"/>
  <c r="K14" i="46" s="1"/>
  <c r="K278" i="46" s="1"/>
  <c r="J14" i="46"/>
  <c r="J278" i="46" s="1"/>
  <c r="N11" i="10"/>
  <c r="N59" i="10"/>
  <c r="T31" i="17"/>
  <c r="T32" i="17" s="1"/>
  <c r="M35" i="8"/>
  <c r="L35" i="8"/>
  <c r="L90" i="17"/>
  <c r="L89" i="17"/>
  <c r="R27" i="17"/>
  <c r="R28" i="17"/>
  <c r="V103" i="17"/>
  <c r="V104" i="17" s="1"/>
  <c r="K153" i="16"/>
  <c r="K154" i="16" s="1"/>
  <c r="I81" i="17"/>
  <c r="I82" i="17"/>
  <c r="AD266" i="16"/>
  <c r="AD267" i="16"/>
  <c r="P19" i="16"/>
  <c r="P20" i="16" s="1"/>
  <c r="F17" i="15"/>
  <c r="F18" i="15"/>
  <c r="M229" i="16"/>
  <c r="M228" i="16"/>
  <c r="K9" i="16"/>
  <c r="K10" i="16" s="1"/>
  <c r="X31" i="16"/>
  <c r="X32" i="16"/>
  <c r="M85" i="17"/>
  <c r="M86" i="17"/>
  <c r="N24" i="7"/>
  <c r="N27" i="8" s="1"/>
  <c r="N36" i="8" s="1"/>
  <c r="M7" i="39"/>
  <c r="K89" i="16"/>
  <c r="W110" i="16"/>
  <c r="W111" i="16" s="1"/>
  <c r="T319" i="16"/>
  <c r="T320" i="16"/>
  <c r="Z187" i="16"/>
  <c r="Z188" i="16"/>
  <c r="P1" i="10"/>
  <c r="O10" i="10"/>
  <c r="E26" i="10"/>
  <c r="E25" i="10" s="1"/>
  <c r="E27" i="10"/>
  <c r="J23" i="7"/>
  <c r="J26" i="8" s="1"/>
  <c r="J35" i="8" s="1"/>
  <c r="Z45" i="17"/>
  <c r="Z46" i="17" s="1"/>
  <c r="AC265" i="16"/>
  <c r="AC264" i="16"/>
  <c r="S173" i="16"/>
  <c r="S174" i="16"/>
  <c r="H82" i="16"/>
  <c r="H140" i="16" s="1"/>
  <c r="H83" i="16"/>
  <c r="G141" i="16"/>
  <c r="W108" i="16"/>
  <c r="W109" i="16"/>
  <c r="AC123" i="17"/>
  <c r="AC124" i="17" s="1"/>
  <c r="K226" i="16"/>
  <c r="K227" i="16" s="1"/>
  <c r="S35" i="8"/>
  <c r="V110" i="17"/>
  <c r="V109" i="17"/>
  <c r="U107" i="17"/>
  <c r="U108" i="17" s="1"/>
  <c r="Q97" i="17"/>
  <c r="Q98" i="17"/>
  <c r="D18" i="15"/>
  <c r="D17" i="15"/>
  <c r="T244" i="16"/>
  <c r="T245" i="16" s="1"/>
  <c r="X321" i="16"/>
  <c r="X322" i="16"/>
  <c r="Z39" i="16"/>
  <c r="Z40" i="16"/>
  <c r="K6" i="16"/>
  <c r="K5" i="16"/>
  <c r="Q16" i="17"/>
  <c r="Q15" i="17"/>
  <c r="T238" i="16"/>
  <c r="T239" i="16"/>
  <c r="O24" i="7"/>
  <c r="O27" i="8" s="1"/>
  <c r="O36" i="8" s="1"/>
  <c r="AE57" i="17"/>
  <c r="AE58" i="17" s="1"/>
  <c r="J298" i="16"/>
  <c r="J297" i="16"/>
  <c r="AF339" i="16"/>
  <c r="AF340" i="16"/>
  <c r="AE341" i="16"/>
  <c r="AE342" i="16"/>
  <c r="S14" i="46"/>
  <c r="C24" i="9" s="1"/>
  <c r="F219" i="16"/>
  <c r="AC191" i="16"/>
  <c r="AC192" i="16" s="1"/>
  <c r="Z23" i="7"/>
  <c r="Z26" i="8" s="1"/>
  <c r="Z35" i="8" s="1"/>
  <c r="AF132" i="17"/>
  <c r="X256" i="16"/>
  <c r="X257" i="16"/>
  <c r="AG57" i="16"/>
  <c r="AG58" i="16" s="1"/>
  <c r="AB35" i="8"/>
  <c r="K11" i="17"/>
  <c r="K12" i="17" s="1"/>
  <c r="AG130" i="17"/>
  <c r="AG129" i="17"/>
  <c r="I222" i="16"/>
  <c r="I223" i="16" s="1"/>
  <c r="AB116" i="16"/>
  <c r="AB117" i="16"/>
  <c r="W177" i="16"/>
  <c r="W178" i="16"/>
  <c r="H18" i="15"/>
  <c r="H17" i="15"/>
  <c r="X37" i="17"/>
  <c r="X38" i="17"/>
  <c r="AG121" i="17"/>
  <c r="AG122" i="17"/>
  <c r="J5" i="17"/>
  <c r="J6" i="17" s="1"/>
  <c r="R11" i="2"/>
  <c r="R24" i="2"/>
  <c r="Q10" i="9"/>
  <c r="R7" i="2"/>
  <c r="R16" i="2"/>
  <c r="P8" i="15" s="1"/>
  <c r="P3" i="15" s="1"/>
  <c r="R13" i="2"/>
  <c r="R15" i="2"/>
  <c r="R6" i="2"/>
  <c r="R14" i="2"/>
  <c r="R10" i="2"/>
  <c r="X31" i="29"/>
  <c r="X32" i="29" s="1"/>
  <c r="W18" i="34"/>
  <c r="Y15" i="9"/>
  <c r="H14" i="43" l="1"/>
  <c r="K14" i="43"/>
  <c r="J14" i="43"/>
  <c r="AI41" i="17"/>
  <c r="AI42" i="17"/>
  <c r="D16" i="15"/>
  <c r="D19" i="15" s="1"/>
  <c r="C9" i="7"/>
  <c r="C23" i="8" s="1"/>
  <c r="N31" i="8"/>
  <c r="AG195" i="16"/>
  <c r="AG196" i="16" s="1"/>
  <c r="Q163" i="16"/>
  <c r="Q164" i="16"/>
  <c r="AC47" i="16"/>
  <c r="AC48" i="16"/>
  <c r="AE262" i="16"/>
  <c r="AE263" i="16" s="1"/>
  <c r="AA258" i="16"/>
  <c r="AA259" i="16" s="1"/>
  <c r="U23" i="16"/>
  <c r="U24" i="16"/>
  <c r="T98" i="16"/>
  <c r="T99" i="16"/>
  <c r="P22" i="16"/>
  <c r="P21" i="16"/>
  <c r="X309" i="16"/>
  <c r="X310" i="16" s="1"/>
  <c r="U313" i="16"/>
  <c r="U314" i="16"/>
  <c r="R25" i="16"/>
  <c r="R26" i="16"/>
  <c r="K6" i="17"/>
  <c r="K5" i="17"/>
  <c r="J222" i="16"/>
  <c r="J223" i="16" s="1"/>
  <c r="U244" i="16"/>
  <c r="U245" i="16" s="1"/>
  <c r="L153" i="16"/>
  <c r="L154" i="16"/>
  <c r="AC51" i="16"/>
  <c r="AC52" i="16" s="1"/>
  <c r="M9" i="17"/>
  <c r="M10" i="17" s="1"/>
  <c r="N17" i="16"/>
  <c r="N18" i="16" s="1"/>
  <c r="P84" i="16"/>
  <c r="P85" i="16" s="1"/>
  <c r="N17" i="17"/>
  <c r="N18" i="17" s="1"/>
  <c r="AA111" i="17"/>
  <c r="AA112" i="17" s="1"/>
  <c r="L227" i="16"/>
  <c r="L226" i="16"/>
  <c r="W103" i="17"/>
  <c r="W104" i="17" s="1"/>
  <c r="U27" i="16"/>
  <c r="U28" i="16" s="1"/>
  <c r="AI61" i="16"/>
  <c r="AI62" i="16" s="1"/>
  <c r="AF193" i="16"/>
  <c r="AF194" i="16" s="1"/>
  <c r="O165" i="16"/>
  <c r="O166" i="16"/>
  <c r="AE122" i="16"/>
  <c r="AE123" i="16" s="1"/>
  <c r="AF197" i="16"/>
  <c r="AF198" i="16"/>
  <c r="Q167" i="16"/>
  <c r="Q168" i="16" s="1"/>
  <c r="AD191" i="16"/>
  <c r="AD192" i="16"/>
  <c r="AD124" i="17"/>
  <c r="AD123" i="17"/>
  <c r="Z183" i="16"/>
  <c r="Z184" i="16" s="1"/>
  <c r="AB115" i="17"/>
  <c r="AB116" i="17" s="1"/>
  <c r="J149" i="16"/>
  <c r="J150" i="16"/>
  <c r="N92" i="17"/>
  <c r="N91" i="17"/>
  <c r="AC331" i="16"/>
  <c r="AC332" i="16" s="1"/>
  <c r="Q92" i="16"/>
  <c r="Q93" i="16"/>
  <c r="AF117" i="17"/>
  <c r="AF118" i="17"/>
  <c r="L155" i="16"/>
  <c r="L156" i="16" s="1"/>
  <c r="J80" i="16"/>
  <c r="J81" i="16"/>
  <c r="V250" i="16"/>
  <c r="V251" i="16"/>
  <c r="AE37" i="16"/>
  <c r="AE38" i="16" s="1"/>
  <c r="AG126" i="16"/>
  <c r="AG127" i="16" s="1"/>
  <c r="AI274" i="16"/>
  <c r="AI275" i="16" s="1"/>
  <c r="M230" i="16"/>
  <c r="M231" i="16"/>
  <c r="L12" i="17"/>
  <c r="L11" i="17"/>
  <c r="Q20" i="16"/>
  <c r="Q19" i="16"/>
  <c r="O91" i="16"/>
  <c r="O90" i="16"/>
  <c r="AI345" i="16"/>
  <c r="AI346" i="16"/>
  <c r="Z114" i="17"/>
  <c r="Z113" i="17"/>
  <c r="T22" i="17"/>
  <c r="T21" i="17"/>
  <c r="AD261" i="16"/>
  <c r="AD260" i="16"/>
  <c r="AI333" i="16"/>
  <c r="AI334" i="16"/>
  <c r="U175" i="16"/>
  <c r="U176" i="16" s="1"/>
  <c r="AG327" i="16"/>
  <c r="AG328" i="16" s="1"/>
  <c r="Y325" i="16"/>
  <c r="Y326" i="16" s="1"/>
  <c r="Y29" i="16"/>
  <c r="Y30" i="16"/>
  <c r="V232" i="16"/>
  <c r="V233" i="16" s="1"/>
  <c r="AB42" i="16"/>
  <c r="AB41" i="16"/>
  <c r="U31" i="17"/>
  <c r="U32" i="17" s="1"/>
  <c r="I54" i="10"/>
  <c r="I53" i="10" s="1"/>
  <c r="I55" i="10" s="1"/>
  <c r="AG53" i="16"/>
  <c r="AG54" i="16" s="1"/>
  <c r="AH129" i="16"/>
  <c r="AH128" i="16"/>
  <c r="AF57" i="17"/>
  <c r="AF58" i="17" s="1"/>
  <c r="AA45" i="17"/>
  <c r="AA46" i="17" s="1"/>
  <c r="U101" i="17"/>
  <c r="U102" i="17" s="1"/>
  <c r="U106" i="17"/>
  <c r="U105" i="17"/>
  <c r="U240" i="16"/>
  <c r="U241" i="16" s="1"/>
  <c r="AC39" i="17"/>
  <c r="AC40" i="17" s="1"/>
  <c r="AF43" i="16"/>
  <c r="AF44" i="16" s="1"/>
  <c r="AG120" i="16"/>
  <c r="AG121" i="16" s="1"/>
  <c r="L291" i="16"/>
  <c r="L292" i="16" s="1"/>
  <c r="V106" i="16"/>
  <c r="V107" i="16" s="1"/>
  <c r="W317" i="16"/>
  <c r="W318" i="16" s="1"/>
  <c r="AF119" i="17"/>
  <c r="AF120" i="17" s="1"/>
  <c r="AH57" i="16"/>
  <c r="AH58" i="16" s="1"/>
  <c r="V108" i="17"/>
  <c r="V107" i="17"/>
  <c r="U246" i="16"/>
  <c r="U247" i="16" s="1"/>
  <c r="S171" i="16"/>
  <c r="S172" i="16" s="1"/>
  <c r="G21" i="2"/>
  <c r="E29" i="7" s="1"/>
  <c r="K77" i="16"/>
  <c r="K76" i="16"/>
  <c r="U33" i="17"/>
  <c r="U34" i="17"/>
  <c r="N161" i="16"/>
  <c r="N162" i="16"/>
  <c r="Q95" i="17"/>
  <c r="Q96" i="17"/>
  <c r="S25" i="17"/>
  <c r="S26" i="17"/>
  <c r="R237" i="16"/>
  <c r="R236" i="16"/>
  <c r="X110" i="16"/>
  <c r="X111" i="16"/>
  <c r="L9" i="16"/>
  <c r="L10" i="16" s="1"/>
  <c r="U94" i="16"/>
  <c r="U95" i="16" s="1"/>
  <c r="T304" i="16"/>
  <c r="T303" i="16"/>
  <c r="U315" i="16"/>
  <c r="U316" i="16"/>
  <c r="V311" i="16"/>
  <c r="V312" i="16"/>
  <c r="P234" i="16"/>
  <c r="P235" i="16"/>
  <c r="AD50" i="17"/>
  <c r="AD49" i="17"/>
  <c r="I82" i="16"/>
  <c r="I140" i="16" s="1"/>
  <c r="I83" i="16"/>
  <c r="I141" i="16" s="1"/>
  <c r="N85" i="17"/>
  <c r="N86" i="17"/>
  <c r="U238" i="16"/>
  <c r="U239" i="16"/>
  <c r="Y37" i="17"/>
  <c r="Y38" i="17" s="1"/>
  <c r="Y321" i="16"/>
  <c r="Y322" i="16"/>
  <c r="T173" i="16"/>
  <c r="T174" i="16"/>
  <c r="Y31" i="16"/>
  <c r="Y32" i="16" s="1"/>
  <c r="C23" i="9"/>
  <c r="C15" i="7" s="1"/>
  <c r="C36" i="7"/>
  <c r="K297" i="16"/>
  <c r="K298" i="16"/>
  <c r="R15" i="17"/>
  <c r="R16" i="17"/>
  <c r="Q1" i="10"/>
  <c r="P10" i="10"/>
  <c r="F212" i="16"/>
  <c r="G147" i="16"/>
  <c r="G211" i="16" s="1"/>
  <c r="AB112" i="16"/>
  <c r="AB113" i="16"/>
  <c r="Q144" i="17"/>
  <c r="P150" i="17"/>
  <c r="G289" i="16"/>
  <c r="G353" i="16" s="1"/>
  <c r="G290" i="16"/>
  <c r="F354" i="16"/>
  <c r="AI53" i="17"/>
  <c r="AI54" i="17" s="1"/>
  <c r="AA118" i="16"/>
  <c r="AA119" i="16" s="1"/>
  <c r="R159" i="16"/>
  <c r="R160" i="16" s="1"/>
  <c r="Z248" i="16"/>
  <c r="Z249" i="16"/>
  <c r="D14" i="8"/>
  <c r="D47" i="8"/>
  <c r="K13" i="17"/>
  <c r="K14" i="17" s="1"/>
  <c r="Z34" i="16"/>
  <c r="Z33" i="16"/>
  <c r="W35" i="17"/>
  <c r="W36" i="17" s="1"/>
  <c r="H141" i="16"/>
  <c r="AB329" i="16"/>
  <c r="AB330" i="16"/>
  <c r="Q15" i="16"/>
  <c r="Q16" i="16" s="1"/>
  <c r="U100" i="16"/>
  <c r="U101" i="16"/>
  <c r="Y256" i="16"/>
  <c r="Y257" i="16"/>
  <c r="AF341" i="16"/>
  <c r="AF342" i="16"/>
  <c r="X109" i="16"/>
  <c r="X108" i="16"/>
  <c r="AD264" i="16"/>
  <c r="AD265" i="16"/>
  <c r="AA188" i="16"/>
  <c r="AA187" i="16"/>
  <c r="AE266" i="16"/>
  <c r="AE267" i="16"/>
  <c r="S28" i="17"/>
  <c r="S27" i="17"/>
  <c r="AD114" i="16"/>
  <c r="AD115" i="16"/>
  <c r="O83" i="17"/>
  <c r="O84" i="17"/>
  <c r="U100" i="17"/>
  <c r="U99" i="17"/>
  <c r="R87" i="17"/>
  <c r="R88" i="17"/>
  <c r="Z29" i="10"/>
  <c r="Y38" i="10"/>
  <c r="Y39" i="10" s="1"/>
  <c r="D12" i="10"/>
  <c r="C62" i="10"/>
  <c r="D28" i="7" s="1"/>
  <c r="Q23" i="17"/>
  <c r="Q24" i="17" s="1"/>
  <c r="X18" i="34"/>
  <c r="Y31" i="29"/>
  <c r="Y32" i="29" s="1"/>
  <c r="Z15" i="9"/>
  <c r="AH129" i="17"/>
  <c r="AH130" i="17" s="1"/>
  <c r="H8" i="17"/>
  <c r="Y185" i="16"/>
  <c r="Y186" i="16" s="1"/>
  <c r="P11" i="16"/>
  <c r="P12" i="16" s="1"/>
  <c r="Q302" i="16"/>
  <c r="Q301" i="16"/>
  <c r="X181" i="16"/>
  <c r="X182" i="16"/>
  <c r="I293" i="16"/>
  <c r="I294" i="16"/>
  <c r="AI133" i="17"/>
  <c r="AI134" i="17"/>
  <c r="L157" i="16"/>
  <c r="L158" i="16" s="1"/>
  <c r="AG55" i="17"/>
  <c r="AG56" i="17"/>
  <c r="AD49" i="16"/>
  <c r="AD50" i="16"/>
  <c r="T96" i="16"/>
  <c r="T97" i="16"/>
  <c r="E36" i="8"/>
  <c r="F36" i="8"/>
  <c r="U169" i="16"/>
  <c r="U170" i="16"/>
  <c r="O18" i="15"/>
  <c r="O17" i="15"/>
  <c r="G7" i="16"/>
  <c r="G69" i="16" s="1"/>
  <c r="F70" i="16"/>
  <c r="F361" i="16" s="1"/>
  <c r="D14" i="7" s="1"/>
  <c r="K7" i="39"/>
  <c r="O19" i="17"/>
  <c r="O20" i="17"/>
  <c r="AE51" i="17"/>
  <c r="AE52" i="17"/>
  <c r="S29" i="17"/>
  <c r="S30" i="17" s="1"/>
  <c r="S7" i="2"/>
  <c r="S10" i="2"/>
  <c r="S14" i="2"/>
  <c r="S11" i="2"/>
  <c r="S15" i="2"/>
  <c r="S16" i="2"/>
  <c r="Q8" i="15" s="1"/>
  <c r="Q3" i="15" s="1"/>
  <c r="R10" i="9"/>
  <c r="S6" i="2"/>
  <c r="S24" i="2"/>
  <c r="S13" i="2"/>
  <c r="AG339" i="16"/>
  <c r="AG340" i="16" s="1"/>
  <c r="AA39" i="16"/>
  <c r="AA40" i="16"/>
  <c r="P79" i="16"/>
  <c r="P78" i="16"/>
  <c r="AH47" i="17"/>
  <c r="AH48" i="17" s="1"/>
  <c r="Z15" i="10"/>
  <c r="Y24" i="10"/>
  <c r="Y25" i="10" s="1"/>
  <c r="L86" i="16"/>
  <c r="L87" i="16" s="1"/>
  <c r="I152" i="16"/>
  <c r="I151" i="16"/>
  <c r="Q221" i="16"/>
  <c r="Q220" i="16"/>
  <c r="AA105" i="16"/>
  <c r="AA104" i="16"/>
  <c r="O93" i="17"/>
  <c r="O94" i="17" s="1"/>
  <c r="L7" i="39"/>
  <c r="AE335" i="16"/>
  <c r="AE336" i="16"/>
  <c r="J224" i="16"/>
  <c r="J225" i="16"/>
  <c r="K13" i="16"/>
  <c r="K14" i="16"/>
  <c r="M89" i="17"/>
  <c r="M90" i="17" s="1"/>
  <c r="K35" i="8"/>
  <c r="AF43" i="10"/>
  <c r="AE52" i="10"/>
  <c r="AE53" i="10" s="1"/>
  <c r="Z255" i="16"/>
  <c r="Z254" i="16"/>
  <c r="R97" i="17"/>
  <c r="R98" i="17"/>
  <c r="F26" i="10"/>
  <c r="F25" i="10" s="1"/>
  <c r="F27" i="10" s="1"/>
  <c r="J295" i="16"/>
  <c r="J296" i="16" s="1"/>
  <c r="G72" i="16"/>
  <c r="F363" i="16"/>
  <c r="F5" i="39"/>
  <c r="J5" i="39" s="1"/>
  <c r="J7" i="39" s="1"/>
  <c r="AD128" i="17"/>
  <c r="W252" i="16"/>
  <c r="W253" i="16" s="1"/>
  <c r="P300" i="16"/>
  <c r="P299" i="16"/>
  <c r="AE125" i="17"/>
  <c r="AE126" i="17"/>
  <c r="AB189" i="16"/>
  <c r="AB190" i="16"/>
  <c r="AI59" i="17"/>
  <c r="AI60" i="17" s="1"/>
  <c r="AB103" i="16"/>
  <c r="AB102" i="16"/>
  <c r="AI45" i="16"/>
  <c r="AI46" i="16" s="1"/>
  <c r="T242" i="16"/>
  <c r="T243" i="16"/>
  <c r="Z43" i="17"/>
  <c r="Z44" i="17" s="1"/>
  <c r="AH122" i="17"/>
  <c r="AH121" i="17"/>
  <c r="X177" i="16"/>
  <c r="X178" i="16" s="1"/>
  <c r="AG131" i="17"/>
  <c r="AG132" i="17" s="1"/>
  <c r="L5" i="16"/>
  <c r="W109" i="17"/>
  <c r="W110" i="17"/>
  <c r="U320" i="16"/>
  <c r="U319" i="16"/>
  <c r="N228" i="16"/>
  <c r="N229" i="16" s="1"/>
  <c r="J81" i="17"/>
  <c r="J82" i="17"/>
  <c r="H40" i="10"/>
  <c r="H39" i="10" s="1"/>
  <c r="H41" i="10"/>
  <c r="P24" i="7"/>
  <c r="P27" i="8" s="1"/>
  <c r="P36" i="8" s="1"/>
  <c r="P10" i="8"/>
  <c r="R35" i="2"/>
  <c r="AC116" i="16"/>
  <c r="AC117" i="16"/>
  <c r="K18" i="15"/>
  <c r="K17" i="15"/>
  <c r="H80" i="17"/>
  <c r="G142" i="17"/>
  <c r="G148" i="17" s="1"/>
  <c r="E13" i="7" s="1"/>
  <c r="H79" i="17"/>
  <c r="H141" i="17" s="1"/>
  <c r="H147" i="17" s="1"/>
  <c r="AG199" i="16"/>
  <c r="AG200" i="16" s="1"/>
  <c r="O31" i="8"/>
  <c r="V36" i="16"/>
  <c r="V35" i="16"/>
  <c r="P307" i="16"/>
  <c r="P308" i="16"/>
  <c r="O305" i="16"/>
  <c r="O306" i="16"/>
  <c r="R5" i="2"/>
  <c r="N15" i="15"/>
  <c r="G219" i="16"/>
  <c r="G218" i="16"/>
  <c r="G282" i="16" s="1"/>
  <c r="F283" i="16"/>
  <c r="O11" i="10"/>
  <c r="O60" i="10" s="1"/>
  <c r="O59" i="10"/>
  <c r="L88" i="16"/>
  <c r="L89" i="16"/>
  <c r="V179" i="16"/>
  <c r="V180" i="16" s="1"/>
  <c r="K78" i="17"/>
  <c r="F6" i="39"/>
  <c r="J6" i="39" s="1"/>
  <c r="AA35" i="8"/>
  <c r="M86" i="16" l="1"/>
  <c r="M87" i="16"/>
  <c r="V94" i="16"/>
  <c r="V95" i="16" s="1"/>
  <c r="H21" i="2"/>
  <c r="F29" i="7"/>
  <c r="W107" i="16"/>
  <c r="W106" i="16"/>
  <c r="V101" i="17"/>
  <c r="V102" i="17" s="1"/>
  <c r="O17" i="16"/>
  <c r="O18" i="16" s="1"/>
  <c r="AB45" i="17"/>
  <c r="AB46" i="17"/>
  <c r="M156" i="16"/>
  <c r="M155" i="16"/>
  <c r="R167" i="16"/>
  <c r="R168" i="16"/>
  <c r="V28" i="16"/>
  <c r="V27" i="16"/>
  <c r="N9" i="17"/>
  <c r="N10" i="17"/>
  <c r="X103" i="17"/>
  <c r="X104" i="17" s="1"/>
  <c r="AD51" i="16"/>
  <c r="AD52" i="16" s="1"/>
  <c r="AH195" i="16"/>
  <c r="AH196" i="16" s="1"/>
  <c r="Z31" i="16"/>
  <c r="Z32" i="16" s="1"/>
  <c r="AG57" i="17"/>
  <c r="AG58" i="17" s="1"/>
  <c r="AH199" i="16"/>
  <c r="AH200" i="16"/>
  <c r="AG44" i="16"/>
  <c r="AG43" i="16"/>
  <c r="AH126" i="16"/>
  <c r="AH127" i="16"/>
  <c r="AC116" i="17"/>
  <c r="AC115" i="17"/>
  <c r="K295" i="16"/>
  <c r="K296" i="16"/>
  <c r="AH339" i="16"/>
  <c r="AH340" i="16" s="1"/>
  <c r="Q11" i="16"/>
  <c r="Q12" i="16"/>
  <c r="X35" i="17"/>
  <c r="X36" i="17" s="1"/>
  <c r="S159" i="16"/>
  <c r="S160" i="16" s="1"/>
  <c r="AG119" i="17"/>
  <c r="AG120" i="17" s="1"/>
  <c r="J54" i="10"/>
  <c r="J53" i="10" s="1"/>
  <c r="J55" i="10" s="1"/>
  <c r="AH327" i="16"/>
  <c r="AH328" i="16" s="1"/>
  <c r="AD331" i="16"/>
  <c r="AD332" i="16"/>
  <c r="O17" i="17"/>
  <c r="O18" i="17" s="1"/>
  <c r="AH131" i="17"/>
  <c r="AH132" i="17"/>
  <c r="Y177" i="16"/>
  <c r="Y178" i="16" s="1"/>
  <c r="X252" i="16"/>
  <c r="X253" i="16"/>
  <c r="AI47" i="17"/>
  <c r="AI48" i="17" s="1"/>
  <c r="T29" i="17"/>
  <c r="T30" i="17"/>
  <c r="AI129" i="17"/>
  <c r="AI130" i="17" s="1"/>
  <c r="L13" i="17"/>
  <c r="L14" i="17"/>
  <c r="M9" i="16"/>
  <c r="M10" i="16"/>
  <c r="T171" i="16"/>
  <c r="T172" i="16"/>
  <c r="M291" i="16"/>
  <c r="M292" i="16" s="1"/>
  <c r="W179" i="16"/>
  <c r="W180" i="16"/>
  <c r="O228" i="16"/>
  <c r="O229" i="16" s="1"/>
  <c r="R15" i="16"/>
  <c r="R16" i="16"/>
  <c r="V246" i="16"/>
  <c r="V247" i="16"/>
  <c r="W232" i="16"/>
  <c r="W233" i="16" s="1"/>
  <c r="AA43" i="17"/>
  <c r="AA44" i="17" s="1"/>
  <c r="AD39" i="17"/>
  <c r="AD40" i="17" s="1"/>
  <c r="AF37" i="16"/>
  <c r="AF38" i="16"/>
  <c r="AA183" i="16"/>
  <c r="AA184" i="16"/>
  <c r="AF122" i="16"/>
  <c r="AF123" i="16"/>
  <c r="AB258" i="16"/>
  <c r="AB259" i="16"/>
  <c r="AH120" i="16"/>
  <c r="AH121" i="16" s="1"/>
  <c r="M157" i="16"/>
  <c r="M158" i="16" s="1"/>
  <c r="R23" i="17"/>
  <c r="R24" i="17" s="1"/>
  <c r="AI57" i="16"/>
  <c r="AI58" i="16" s="1"/>
  <c r="V240" i="16"/>
  <c r="V241" i="16" s="1"/>
  <c r="AH53" i="16"/>
  <c r="AH54" i="16"/>
  <c r="Z325" i="16"/>
  <c r="Z326" i="16"/>
  <c r="AB112" i="17"/>
  <c r="AB111" i="17"/>
  <c r="V244" i="16"/>
  <c r="V245" i="16" s="1"/>
  <c r="Y309" i="16"/>
  <c r="Y310" i="16"/>
  <c r="AF262" i="16"/>
  <c r="AF263" i="16"/>
  <c r="K222" i="16"/>
  <c r="K223" i="16" s="1"/>
  <c r="G27" i="10"/>
  <c r="G26" i="10"/>
  <c r="G25" i="10" s="1"/>
  <c r="N89" i="17"/>
  <c r="N90" i="17"/>
  <c r="P93" i="17"/>
  <c r="P94" i="17" s="1"/>
  <c r="D16" i="7"/>
  <c r="Z185" i="16"/>
  <c r="Z186" i="16"/>
  <c r="AB118" i="16"/>
  <c r="AB119" i="16" s="1"/>
  <c r="Z37" i="17"/>
  <c r="Z38" i="17" s="1"/>
  <c r="X317" i="16"/>
  <c r="X318" i="16" s="1"/>
  <c r="V31" i="17"/>
  <c r="V32" i="17" s="1"/>
  <c r="V175" i="16"/>
  <c r="V176" i="16" s="1"/>
  <c r="AG193" i="16"/>
  <c r="AG194" i="16" s="1"/>
  <c r="Q84" i="16"/>
  <c r="Q85" i="16" s="1"/>
  <c r="R301" i="16"/>
  <c r="R302" i="16"/>
  <c r="V99" i="17"/>
  <c r="V100" i="17"/>
  <c r="AF266" i="16"/>
  <c r="AF267" i="16"/>
  <c r="R144" i="17"/>
  <c r="Q150" i="17"/>
  <c r="P305" i="16"/>
  <c r="P306" i="16" s="1"/>
  <c r="I40" i="10"/>
  <c r="I39" i="10" s="1"/>
  <c r="I41" i="10" s="1"/>
  <c r="X109" i="17"/>
  <c r="X110" i="17"/>
  <c r="L13" i="16"/>
  <c r="L14" i="16" s="1"/>
  <c r="AF51" i="17"/>
  <c r="AF52" i="17" s="1"/>
  <c r="G360" i="16"/>
  <c r="G19" i="2" s="1"/>
  <c r="U96" i="16"/>
  <c r="U97" i="16"/>
  <c r="P83" i="17"/>
  <c r="P84" i="17" s="1"/>
  <c r="AG341" i="16"/>
  <c r="AG342" i="16" s="1"/>
  <c r="H218" i="16"/>
  <c r="H282" i="16" s="1"/>
  <c r="H219" i="16"/>
  <c r="G283" i="16"/>
  <c r="W35" i="16"/>
  <c r="W36" i="16"/>
  <c r="N18" i="15"/>
  <c r="N17" i="15"/>
  <c r="I79" i="17"/>
  <c r="I141" i="17" s="1"/>
  <c r="H142" i="17"/>
  <c r="AE127" i="17"/>
  <c r="AE128" i="17" s="1"/>
  <c r="D13" i="11"/>
  <c r="X13" i="11"/>
  <c r="Z13" i="11"/>
  <c r="M13" i="11"/>
  <c r="Y13" i="11"/>
  <c r="S13" i="11"/>
  <c r="T13" i="11"/>
  <c r="AE13" i="11"/>
  <c r="C13" i="11"/>
  <c r="Q13" i="11"/>
  <c r="AB13" i="11"/>
  <c r="AH13" i="11"/>
  <c r="R13" i="11"/>
  <c r="N13" i="11"/>
  <c r="AC13" i="11"/>
  <c r="AG13" i="11"/>
  <c r="L13" i="11"/>
  <c r="U13" i="11"/>
  <c r="I13" i="11"/>
  <c r="V13" i="11"/>
  <c r="F13" i="11"/>
  <c r="AD13" i="11"/>
  <c r="O13" i="11"/>
  <c r="K13" i="11"/>
  <c r="J13" i="11"/>
  <c r="H13" i="11"/>
  <c r="AA13" i="11"/>
  <c r="W13" i="11"/>
  <c r="B13" i="11"/>
  <c r="AF13" i="11"/>
  <c r="E13" i="11"/>
  <c r="P13" i="11"/>
  <c r="G13" i="11"/>
  <c r="J151" i="16"/>
  <c r="J152" i="16"/>
  <c r="Q78" i="16"/>
  <c r="Q79" i="16" s="1"/>
  <c r="T14" i="2"/>
  <c r="T10" i="2"/>
  <c r="T11" i="2"/>
  <c r="T24" i="2"/>
  <c r="T7" i="2"/>
  <c r="T15" i="2"/>
  <c r="S10" i="9"/>
  <c r="T6" i="2"/>
  <c r="T16" i="2"/>
  <c r="R8" i="15" s="1"/>
  <c r="R3" i="15" s="1"/>
  <c r="T13" i="2"/>
  <c r="G8" i="16"/>
  <c r="T27" i="17"/>
  <c r="T28" i="17" s="1"/>
  <c r="Y109" i="16"/>
  <c r="Y108" i="16"/>
  <c r="AA33" i="16"/>
  <c r="AA34" i="16" s="1"/>
  <c r="D36" i="7"/>
  <c r="V33" i="17"/>
  <c r="V34" i="17"/>
  <c r="V106" i="17"/>
  <c r="V105" i="17"/>
  <c r="AI129" i="16"/>
  <c r="AI128" i="16"/>
  <c r="AC41" i="16"/>
  <c r="AC42" i="16"/>
  <c r="U21" i="17"/>
  <c r="U22" i="17"/>
  <c r="R19" i="16"/>
  <c r="R20" i="16" s="1"/>
  <c r="D15" i="7"/>
  <c r="E15" i="7" s="1"/>
  <c r="F15" i="7" s="1"/>
  <c r="G15" i="7" s="1"/>
  <c r="H15" i="7" s="1"/>
  <c r="I15" i="7" s="1"/>
  <c r="J15" i="7" s="1"/>
  <c r="K15" i="7" s="1"/>
  <c r="L15" i="7" s="1"/>
  <c r="M15" i="7" s="1"/>
  <c r="N15" i="7" s="1"/>
  <c r="O15" i="7" s="1"/>
  <c r="P15" i="7" s="1"/>
  <c r="Q15" i="7" s="1"/>
  <c r="R15" i="7" s="1"/>
  <c r="S15" i="7" s="1"/>
  <c r="T15" i="7" s="1"/>
  <c r="U15" i="7" s="1"/>
  <c r="V15" i="7" s="1"/>
  <c r="W15" i="7" s="1"/>
  <c r="X15" i="7" s="1"/>
  <c r="Y15" i="7" s="1"/>
  <c r="Z15" i="7" s="1"/>
  <c r="AA15" i="7" s="1"/>
  <c r="AB15" i="7" s="1"/>
  <c r="AC15" i="7" s="1"/>
  <c r="AD15" i="7" s="1"/>
  <c r="AE15" i="7" s="1"/>
  <c r="AF15" i="7" s="1"/>
  <c r="AG15" i="7" s="1"/>
  <c r="C16" i="7"/>
  <c r="AE49" i="17"/>
  <c r="AE50" i="17" s="1"/>
  <c r="U303" i="16"/>
  <c r="U304" i="16"/>
  <c r="S237" i="16"/>
  <c r="S236" i="16"/>
  <c r="O91" i="17"/>
  <c r="O92" i="17"/>
  <c r="AE123" i="17"/>
  <c r="AE124" i="17"/>
  <c r="P11" i="10"/>
  <c r="P60" i="10" s="1"/>
  <c r="P59" i="10"/>
  <c r="V238" i="16"/>
  <c r="V239" i="16"/>
  <c r="T25" i="17"/>
  <c r="T26" i="17"/>
  <c r="AA113" i="17"/>
  <c r="AA114" i="17"/>
  <c r="M11" i="17"/>
  <c r="M12" i="17" s="1"/>
  <c r="AG117" i="17"/>
  <c r="AG118" i="17"/>
  <c r="K149" i="16"/>
  <c r="K150" i="16"/>
  <c r="AE191" i="16"/>
  <c r="AE192" i="16"/>
  <c r="P165" i="16"/>
  <c r="P166" i="16" s="1"/>
  <c r="M154" i="16"/>
  <c r="M153" i="16"/>
  <c r="L5" i="17"/>
  <c r="L6" i="17" s="1"/>
  <c r="Q21" i="16"/>
  <c r="Q22" i="16"/>
  <c r="D6" i="19"/>
  <c r="AC112" i="16"/>
  <c r="AC113" i="16" s="1"/>
  <c r="Q235" i="16"/>
  <c r="Q234" i="16"/>
  <c r="H72" i="16"/>
  <c r="G363" i="16"/>
  <c r="D11" i="10"/>
  <c r="D61" i="10"/>
  <c r="R1" i="10"/>
  <c r="Q10" i="10"/>
  <c r="Z29" i="16"/>
  <c r="Z30" i="16" s="1"/>
  <c r="N230" i="16"/>
  <c r="N231" i="16" s="1"/>
  <c r="W250" i="16"/>
  <c r="W251" i="16"/>
  <c r="S25" i="16"/>
  <c r="S26" i="16" s="1"/>
  <c r="U99" i="16"/>
  <c r="U98" i="16"/>
  <c r="AD48" i="16"/>
  <c r="AD47" i="16"/>
  <c r="P43" i="29"/>
  <c r="P13" i="15"/>
  <c r="P12" i="15" s="1"/>
  <c r="P15" i="15" s="1"/>
  <c r="AF125" i="17"/>
  <c r="AF126" i="17"/>
  <c r="AD116" i="16"/>
  <c r="AD117" i="16" s="1"/>
  <c r="K82" i="17"/>
  <c r="K81" i="17"/>
  <c r="AI121" i="17"/>
  <c r="AI122" i="17" s="1"/>
  <c r="AC102" i="16"/>
  <c r="AC103" i="16" s="1"/>
  <c r="Q299" i="16"/>
  <c r="Q300" i="16" s="1"/>
  <c r="AA254" i="16"/>
  <c r="AA255" i="16"/>
  <c r="K224" i="16"/>
  <c r="K225" i="16" s="1"/>
  <c r="AB104" i="16"/>
  <c r="AB105" i="16" s="1"/>
  <c r="Z24" i="10"/>
  <c r="Z25" i="10" s="1"/>
  <c r="AA15" i="10"/>
  <c r="P19" i="17"/>
  <c r="P20" i="17"/>
  <c r="AE49" i="16"/>
  <c r="AE50" i="16" s="1"/>
  <c r="J293" i="16"/>
  <c r="J294" i="16" s="1"/>
  <c r="S16" i="17"/>
  <c r="S15" i="17"/>
  <c r="U173" i="16"/>
  <c r="U174" i="16"/>
  <c r="O85" i="17"/>
  <c r="O86" i="17"/>
  <c r="W311" i="16"/>
  <c r="W312" i="16"/>
  <c r="R96" i="17"/>
  <c r="R95" i="17"/>
  <c r="L76" i="16"/>
  <c r="W107" i="17"/>
  <c r="W108" i="17" s="1"/>
  <c r="R92" i="16"/>
  <c r="R93" i="16" s="1"/>
  <c r="C21" i="8"/>
  <c r="C32" i="8"/>
  <c r="C30" i="8" s="1"/>
  <c r="C6" i="8" s="1"/>
  <c r="M88" i="16"/>
  <c r="M89" i="16" s="1"/>
  <c r="V319" i="16"/>
  <c r="V320" i="16" s="1"/>
  <c r="S97" i="17"/>
  <c r="S98" i="17"/>
  <c r="AA15" i="9"/>
  <c r="Y18" i="34"/>
  <c r="Z31" i="29"/>
  <c r="Z32" i="29" s="1"/>
  <c r="AE114" i="16"/>
  <c r="AE115" i="16"/>
  <c r="AB187" i="16"/>
  <c r="AB188" i="16"/>
  <c r="Z256" i="16"/>
  <c r="Z257" i="16" s="1"/>
  <c r="L78" i="17"/>
  <c r="L77" i="17"/>
  <c r="Q24" i="7"/>
  <c r="Q27" i="8" s="1"/>
  <c r="Q36" i="8" s="1"/>
  <c r="AA29" i="10"/>
  <c r="Z38" i="10"/>
  <c r="Z39" i="10" s="1"/>
  <c r="AE264" i="16"/>
  <c r="AE265" i="16" s="1"/>
  <c r="AA248" i="16"/>
  <c r="AA249" i="16" s="1"/>
  <c r="G148" i="16"/>
  <c r="M226" i="16"/>
  <c r="M227" i="16"/>
  <c r="V313" i="16"/>
  <c r="V314" i="16" s="1"/>
  <c r="V24" i="16"/>
  <c r="V23" i="16"/>
  <c r="R163" i="16"/>
  <c r="R164" i="16" s="1"/>
  <c r="D9" i="7"/>
  <c r="D23" i="8" s="1"/>
  <c r="E16" i="15"/>
  <c r="E19" i="15" s="1"/>
  <c r="AC329" i="16"/>
  <c r="AC330" i="16" s="1"/>
  <c r="P47" i="8"/>
  <c r="P14" i="8"/>
  <c r="Q308" i="16"/>
  <c r="Q307" i="16"/>
  <c r="L6" i="16"/>
  <c r="AG43" i="10"/>
  <c r="AF52" i="10"/>
  <c r="AF53" i="10" s="1"/>
  <c r="AF335" i="16"/>
  <c r="AF336" i="16"/>
  <c r="R220" i="16"/>
  <c r="R221" i="16"/>
  <c r="S35" i="2"/>
  <c r="Q10" i="8"/>
  <c r="U12" i="11"/>
  <c r="H12" i="11"/>
  <c r="G12" i="11"/>
  <c r="AG12" i="11"/>
  <c r="N12" i="11"/>
  <c r="P12" i="11"/>
  <c r="AB12" i="11"/>
  <c r="O12" i="11"/>
  <c r="I12" i="11"/>
  <c r="L12" i="11"/>
  <c r="D12" i="11"/>
  <c r="E12" i="11"/>
  <c r="Y12" i="11"/>
  <c r="K12" i="11"/>
  <c r="W12" i="11"/>
  <c r="J12" i="11"/>
  <c r="T12" i="11"/>
  <c r="AA12" i="11"/>
  <c r="B12" i="11"/>
  <c r="Q12" i="11"/>
  <c r="AD12" i="11"/>
  <c r="F12" i="11"/>
  <c r="Z12" i="11"/>
  <c r="S12" i="11"/>
  <c r="AE12" i="11"/>
  <c r="M12" i="11"/>
  <c r="C12" i="11"/>
  <c r="AF12" i="11"/>
  <c r="V12" i="11"/>
  <c r="X12" i="11"/>
  <c r="R12" i="11"/>
  <c r="AC12" i="11"/>
  <c r="AH12" i="11"/>
  <c r="V169" i="16"/>
  <c r="V170" i="16" s="1"/>
  <c r="AH55" i="17"/>
  <c r="AH56" i="17"/>
  <c r="Y181" i="16"/>
  <c r="Y182" i="16"/>
  <c r="I7" i="17"/>
  <c r="I69" i="17" s="1"/>
  <c r="I8" i="17"/>
  <c r="H70" i="17"/>
  <c r="H148" i="17" s="1"/>
  <c r="F13" i="7" s="1"/>
  <c r="S87" i="17"/>
  <c r="S88" i="17"/>
  <c r="V100" i="16"/>
  <c r="V101" i="16"/>
  <c r="H290" i="16"/>
  <c r="H289" i="16"/>
  <c r="H353" i="16" s="1"/>
  <c r="G354" i="16"/>
  <c r="L298" i="16"/>
  <c r="L297" i="16"/>
  <c r="Z321" i="16"/>
  <c r="Z322" i="16" s="1"/>
  <c r="J82" i="16"/>
  <c r="J140" i="16" s="1"/>
  <c r="J83" i="16"/>
  <c r="V315" i="16"/>
  <c r="V316" i="16"/>
  <c r="Y110" i="16"/>
  <c r="Y111" i="16" s="1"/>
  <c r="O161" i="16"/>
  <c r="O162" i="16"/>
  <c r="AE260" i="16"/>
  <c r="AE261" i="16"/>
  <c r="P90" i="16"/>
  <c r="P91" i="16"/>
  <c r="K80" i="16"/>
  <c r="K81" i="16" s="1"/>
  <c r="AG197" i="16"/>
  <c r="AG198" i="16" s="1"/>
  <c r="AB39" i="16"/>
  <c r="AB40" i="16"/>
  <c r="U242" i="16"/>
  <c r="U243" i="16"/>
  <c r="AC189" i="16"/>
  <c r="AC190" i="16" s="1"/>
  <c r="S5" i="2"/>
  <c r="S92" i="16" l="1"/>
  <c r="S93" i="16" s="1"/>
  <c r="AD102" i="16"/>
  <c r="AD103" i="16"/>
  <c r="O230" i="16"/>
  <c r="O231" i="16"/>
  <c r="AB33" i="16"/>
  <c r="AB34" i="16" s="1"/>
  <c r="AE39" i="17"/>
  <c r="AE40" i="17"/>
  <c r="AA321" i="16"/>
  <c r="AA322" i="16" s="1"/>
  <c r="AD329" i="16"/>
  <c r="AD330" i="16"/>
  <c r="X107" i="17"/>
  <c r="X108" i="17" s="1"/>
  <c r="AA29" i="16"/>
  <c r="AA30" i="16" s="1"/>
  <c r="Q165" i="16"/>
  <c r="Q166" i="16"/>
  <c r="AF49" i="17"/>
  <c r="AF50" i="17" s="1"/>
  <c r="AH193" i="16"/>
  <c r="AH194" i="16" s="1"/>
  <c r="AB43" i="17"/>
  <c r="AB44" i="17"/>
  <c r="Q93" i="17"/>
  <c r="Q94" i="17" s="1"/>
  <c r="X232" i="16"/>
  <c r="X233" i="16" s="1"/>
  <c r="N292" i="16"/>
  <c r="N291" i="16"/>
  <c r="AD189" i="16"/>
  <c r="AD190" i="16" s="1"/>
  <c r="W313" i="16"/>
  <c r="W314" i="16"/>
  <c r="R299" i="16"/>
  <c r="R300" i="16" s="1"/>
  <c r="R78" i="16"/>
  <c r="R79" i="16" s="1"/>
  <c r="Q305" i="16"/>
  <c r="Q306" i="16" s="1"/>
  <c r="L222" i="16"/>
  <c r="L223" i="16"/>
  <c r="AI120" i="16"/>
  <c r="AI121" i="16" s="1"/>
  <c r="P229" i="16"/>
  <c r="P228" i="16"/>
  <c r="Z177" i="16"/>
  <c r="Z178" i="16" s="1"/>
  <c r="AH119" i="17"/>
  <c r="AH120" i="17"/>
  <c r="AH57" i="17"/>
  <c r="AH58" i="17" s="1"/>
  <c r="W101" i="17"/>
  <c r="W102" i="17" s="1"/>
  <c r="AA31" i="16"/>
  <c r="AA32" i="16" s="1"/>
  <c r="Y35" i="17"/>
  <c r="Y36" i="17" s="1"/>
  <c r="AI196" i="16"/>
  <c r="AI195" i="16"/>
  <c r="AE52" i="16"/>
  <c r="AE51" i="16"/>
  <c r="N11" i="17"/>
  <c r="N12" i="17" s="1"/>
  <c r="R84" i="16"/>
  <c r="R85" i="16" s="1"/>
  <c r="T160" i="16"/>
  <c r="T159" i="16"/>
  <c r="AC104" i="16"/>
  <c r="AC105" i="16" s="1"/>
  <c r="W31" i="17"/>
  <c r="W32" i="17"/>
  <c r="W240" i="16"/>
  <c r="W241" i="16" s="1"/>
  <c r="Y104" i="17"/>
  <c r="Y103" i="17"/>
  <c r="W170" i="16"/>
  <c r="W169" i="16"/>
  <c r="AA256" i="16"/>
  <c r="AA257" i="16"/>
  <c r="AD112" i="16"/>
  <c r="AD113" i="16" s="1"/>
  <c r="AG52" i="17"/>
  <c r="AG51" i="17"/>
  <c r="W176" i="16"/>
  <c r="W175" i="16"/>
  <c r="AI339" i="16"/>
  <c r="AI340" i="16" s="1"/>
  <c r="W94" i="16"/>
  <c r="W95" i="16" s="1"/>
  <c r="P18" i="17"/>
  <c r="P17" i="17"/>
  <c r="AB248" i="16"/>
  <c r="AB249" i="16" s="1"/>
  <c r="AF127" i="17"/>
  <c r="AF128" i="17" s="1"/>
  <c r="AH197" i="16"/>
  <c r="AH198" i="16" s="1"/>
  <c r="S163" i="16"/>
  <c r="S164" i="16" s="1"/>
  <c r="L225" i="16"/>
  <c r="L224" i="16"/>
  <c r="S19" i="16"/>
  <c r="S20" i="16" s="1"/>
  <c r="W244" i="16"/>
  <c r="W245" i="16" s="1"/>
  <c r="L80" i="16"/>
  <c r="L81" i="16" s="1"/>
  <c r="AA38" i="17"/>
  <c r="AA37" i="17"/>
  <c r="U28" i="17"/>
  <c r="U27" i="17"/>
  <c r="M13" i="16"/>
  <c r="M14" i="16"/>
  <c r="Z110" i="16"/>
  <c r="Z111" i="16" s="1"/>
  <c r="AF264" i="16"/>
  <c r="AF265" i="16" s="1"/>
  <c r="W320" i="16"/>
  <c r="W319" i="16"/>
  <c r="AE116" i="16"/>
  <c r="AE117" i="16" s="1"/>
  <c r="Y317" i="16"/>
  <c r="Y318" i="16" s="1"/>
  <c r="N88" i="16"/>
  <c r="N89" i="16"/>
  <c r="K293" i="16"/>
  <c r="K294" i="16" s="1"/>
  <c r="T26" i="16"/>
  <c r="T25" i="16"/>
  <c r="AH341" i="16"/>
  <c r="AH342" i="16" s="1"/>
  <c r="S23" i="17"/>
  <c r="S24" i="17" s="1"/>
  <c r="AI327" i="16"/>
  <c r="AI328" i="16" s="1"/>
  <c r="AF50" i="16"/>
  <c r="AF49" i="16"/>
  <c r="M5" i="17"/>
  <c r="Q83" i="17"/>
  <c r="Q84" i="17" s="1"/>
  <c r="J40" i="10"/>
  <c r="J39" i="10" s="1"/>
  <c r="J41" i="10"/>
  <c r="AC118" i="16"/>
  <c r="AC119" i="16"/>
  <c r="N157" i="16"/>
  <c r="N158" i="16" s="1"/>
  <c r="K55" i="10"/>
  <c r="K54" i="10"/>
  <c r="K53" i="10" s="1"/>
  <c r="P17" i="16"/>
  <c r="P18" i="16"/>
  <c r="V173" i="16"/>
  <c r="V174" i="16" s="1"/>
  <c r="I72" i="16"/>
  <c r="H363" i="16"/>
  <c r="K151" i="16"/>
  <c r="K152" i="16"/>
  <c r="S301" i="16"/>
  <c r="S302" i="16" s="1"/>
  <c r="AA185" i="16"/>
  <c r="AA186" i="16" s="1"/>
  <c r="H27" i="10"/>
  <c r="H26" i="10"/>
  <c r="H25" i="10" s="1"/>
  <c r="AG37" i="16"/>
  <c r="AG38" i="16"/>
  <c r="W246" i="16"/>
  <c r="W247" i="16" s="1"/>
  <c r="Q14" i="8"/>
  <c r="Q47" i="8"/>
  <c r="T237" i="16"/>
  <c r="T236" i="16"/>
  <c r="Z108" i="16"/>
  <c r="Z109" i="16" s="1"/>
  <c r="Q90" i="16"/>
  <c r="Q91" i="16"/>
  <c r="J7" i="17"/>
  <c r="J69" i="17" s="1"/>
  <c r="I70" i="17"/>
  <c r="AH11" i="11"/>
  <c r="AH15" i="11"/>
  <c r="AE11" i="11"/>
  <c r="AE15" i="11"/>
  <c r="T15" i="11"/>
  <c r="T11" i="11"/>
  <c r="I11" i="11"/>
  <c r="I15" i="11"/>
  <c r="L20" i="2" s="1"/>
  <c r="U15" i="11"/>
  <c r="U11" i="11"/>
  <c r="AG52" i="10"/>
  <c r="AG53" i="10" s="1"/>
  <c r="AH43" i="10"/>
  <c r="M78" i="17"/>
  <c r="M77" i="17"/>
  <c r="Q19" i="17"/>
  <c r="Q20" i="17" s="1"/>
  <c r="AB254" i="16"/>
  <c r="AB255" i="16"/>
  <c r="AF191" i="16"/>
  <c r="AF192" i="16" s="1"/>
  <c r="AB113" i="17"/>
  <c r="AB114" i="17" s="1"/>
  <c r="V303" i="16"/>
  <c r="V304" i="16"/>
  <c r="V21" i="17"/>
  <c r="V22" i="17" s="1"/>
  <c r="W33" i="17"/>
  <c r="W34" i="17" s="1"/>
  <c r="AD115" i="17"/>
  <c r="AD116" i="17"/>
  <c r="N155" i="16"/>
  <c r="N156" i="16"/>
  <c r="X106" i="16"/>
  <c r="X107" i="16" s="1"/>
  <c r="V98" i="16"/>
  <c r="V99" i="16" s="1"/>
  <c r="R21" i="16"/>
  <c r="R22" i="16" s="1"/>
  <c r="W105" i="17"/>
  <c r="W106" i="17"/>
  <c r="V242" i="16"/>
  <c r="V243" i="16" s="1"/>
  <c r="W316" i="16"/>
  <c r="W315" i="16"/>
  <c r="I147" i="17"/>
  <c r="AC15" i="11"/>
  <c r="AC11" i="11"/>
  <c r="S15" i="11"/>
  <c r="S11" i="11"/>
  <c r="J11" i="11"/>
  <c r="J15" i="11"/>
  <c r="M20" i="2" s="1"/>
  <c r="O11" i="11"/>
  <c r="O15" i="11"/>
  <c r="R20" i="2" s="1"/>
  <c r="M5" i="16"/>
  <c r="AB15" i="9"/>
  <c r="Z18" i="34"/>
  <c r="AA31" i="29"/>
  <c r="AA32" i="29" s="1"/>
  <c r="P8" i="7"/>
  <c r="P22" i="8" s="1"/>
  <c r="Q11" i="10"/>
  <c r="Q60" i="10" s="1"/>
  <c r="Q59" i="10"/>
  <c r="R234" i="16"/>
  <c r="R235" i="16"/>
  <c r="T35" i="2"/>
  <c r="R10" i="8"/>
  <c r="AC112" i="17"/>
  <c r="AC111" i="17"/>
  <c r="AC258" i="16"/>
  <c r="AC259" i="16" s="1"/>
  <c r="S15" i="16"/>
  <c r="S16" i="16"/>
  <c r="U171" i="16"/>
  <c r="U172" i="16" s="1"/>
  <c r="U29" i="17"/>
  <c r="U30" i="17" s="1"/>
  <c r="AI132" i="17"/>
  <c r="AI131" i="17"/>
  <c r="R11" i="16"/>
  <c r="R12" i="16"/>
  <c r="AI126" i="16"/>
  <c r="AI127" i="16" s="1"/>
  <c r="O9" i="17"/>
  <c r="O10" i="17" s="1"/>
  <c r="AC45" i="17"/>
  <c r="AC46" i="17" s="1"/>
  <c r="I21" i="2"/>
  <c r="G29" i="7" s="1"/>
  <c r="W23" i="16"/>
  <c r="W24" i="16" s="1"/>
  <c r="AC39" i="16"/>
  <c r="AC40" i="16" s="1"/>
  <c r="AF260" i="16"/>
  <c r="AF261" i="16" s="1"/>
  <c r="K83" i="16"/>
  <c r="K141" i="16" s="1"/>
  <c r="K82" i="16"/>
  <c r="K140" i="16" s="1"/>
  <c r="J141" i="16"/>
  <c r="I289" i="16"/>
  <c r="I353" i="16" s="1"/>
  <c r="I290" i="16"/>
  <c r="H354" i="16"/>
  <c r="Z181" i="16"/>
  <c r="Z182" i="16" s="1"/>
  <c r="R15" i="11"/>
  <c r="U20" i="2" s="1"/>
  <c r="R11" i="11"/>
  <c r="Z15" i="11"/>
  <c r="Z11" i="11"/>
  <c r="W11" i="11"/>
  <c r="W15" i="11"/>
  <c r="AG262" i="16"/>
  <c r="AG263" i="16" s="1"/>
  <c r="AA325" i="16"/>
  <c r="AA326" i="16" s="1"/>
  <c r="AB15" i="11"/>
  <c r="AB11" i="11"/>
  <c r="E9" i="7"/>
  <c r="E23" i="8" s="1"/>
  <c r="F16" i="15"/>
  <c r="F19" i="15" s="1"/>
  <c r="N226" i="16"/>
  <c r="N227" i="16" s="1"/>
  <c r="AB29" i="10"/>
  <c r="AA38" i="10"/>
  <c r="AA39" i="10" s="1"/>
  <c r="AD41" i="16"/>
  <c r="AD42" i="16"/>
  <c r="D32" i="8"/>
  <c r="D30" i="8" s="1"/>
  <c r="D6" i="8" s="1"/>
  <c r="D21" i="8"/>
  <c r="V96" i="16"/>
  <c r="V97" i="16"/>
  <c r="Y109" i="17"/>
  <c r="Y110" i="17"/>
  <c r="AG266" i="16"/>
  <c r="AG267" i="16"/>
  <c r="AG122" i="16"/>
  <c r="AG123" i="16"/>
  <c r="N9" i="16"/>
  <c r="N10" i="16" s="1"/>
  <c r="M15" i="11"/>
  <c r="P20" i="2" s="1"/>
  <c r="M11" i="11"/>
  <c r="AA15" i="11"/>
  <c r="AA11" i="11"/>
  <c r="L11" i="11"/>
  <c r="L15" i="11"/>
  <c r="O20" i="2" s="1"/>
  <c r="H15" i="11"/>
  <c r="K20" i="2" s="1"/>
  <c r="H11" i="11"/>
  <c r="L149" i="16"/>
  <c r="L150" i="16" s="1"/>
  <c r="AC187" i="16"/>
  <c r="AC188" i="16"/>
  <c r="X311" i="16"/>
  <c r="X312" i="16" s="1"/>
  <c r="E36" i="7"/>
  <c r="R24" i="7"/>
  <c r="R27" i="8" s="1"/>
  <c r="R36" i="8" s="1"/>
  <c r="P161" i="16"/>
  <c r="P162" i="16" s="1"/>
  <c r="AI55" i="17"/>
  <c r="AI56" i="17" s="1"/>
  <c r="V15" i="11"/>
  <c r="V11" i="11"/>
  <c r="AD15" i="11"/>
  <c r="AD11" i="11"/>
  <c r="Y15" i="11"/>
  <c r="Y11" i="11"/>
  <c r="N15" i="11"/>
  <c r="Q20" i="2" s="1"/>
  <c r="N11" i="11"/>
  <c r="G212" i="16"/>
  <c r="H148" i="16"/>
  <c r="H147" i="16"/>
  <c r="H211" i="16" s="1"/>
  <c r="AH117" i="17"/>
  <c r="AH118" i="17"/>
  <c r="W239" i="16"/>
  <c r="W238" i="16"/>
  <c r="P91" i="17"/>
  <c r="P92" i="17" s="1"/>
  <c r="O89" i="17"/>
  <c r="O90" i="17"/>
  <c r="Z309" i="16"/>
  <c r="Z310" i="16" s="1"/>
  <c r="AI53" i="16"/>
  <c r="AI54" i="16"/>
  <c r="AH43" i="16"/>
  <c r="AH44" i="16" s="1"/>
  <c r="W27" i="16"/>
  <c r="W28" i="16" s="1"/>
  <c r="M297" i="16"/>
  <c r="M298" i="16"/>
  <c r="AF123" i="17"/>
  <c r="AF124" i="17"/>
  <c r="H8" i="16"/>
  <c r="H7" i="16"/>
  <c r="H69" i="16" s="1"/>
  <c r="G70" i="16"/>
  <c r="X35" i="16"/>
  <c r="X36" i="16"/>
  <c r="R150" i="17"/>
  <c r="S144" i="17"/>
  <c r="X11" i="11"/>
  <c r="X15" i="11"/>
  <c r="F11" i="11"/>
  <c r="F15" i="11"/>
  <c r="I20" i="2" s="1"/>
  <c r="K11" i="11"/>
  <c r="K15" i="11"/>
  <c r="N20" i="2" s="1"/>
  <c r="P15" i="11"/>
  <c r="S20" i="2" s="1"/>
  <c r="P11" i="11"/>
  <c r="S221" i="16"/>
  <c r="S220" i="16"/>
  <c r="Q13" i="15"/>
  <c r="Q12" i="15" s="1"/>
  <c r="Q15" i="15" s="1"/>
  <c r="Q8" i="7"/>
  <c r="Q22" i="8" s="1"/>
  <c r="Q43" i="29"/>
  <c r="T87" i="17"/>
  <c r="T88" i="17"/>
  <c r="AF11" i="11"/>
  <c r="AF15" i="11"/>
  <c r="Q15" i="11"/>
  <c r="T20" i="2" s="1"/>
  <c r="Q11" i="11"/>
  <c r="E11" i="11"/>
  <c r="E15" i="11"/>
  <c r="H20" i="2" s="1"/>
  <c r="AG15" i="11"/>
  <c r="AG11" i="11"/>
  <c r="AG32" i="11" s="1"/>
  <c r="AG336" i="16"/>
  <c r="AG335" i="16"/>
  <c r="R307" i="16"/>
  <c r="R308" i="16"/>
  <c r="AF114" i="16"/>
  <c r="AF115" i="16"/>
  <c r="D60" i="10"/>
  <c r="D13" i="10"/>
  <c r="N153" i="16"/>
  <c r="N154" i="16" s="1"/>
  <c r="T5" i="2"/>
  <c r="I218" i="16"/>
  <c r="I282" i="16" s="1"/>
  <c r="H283" i="16"/>
  <c r="W99" i="17"/>
  <c r="W100" i="17" s="1"/>
  <c r="AB183" i="16"/>
  <c r="AB184" i="16" s="1"/>
  <c r="X179" i="16"/>
  <c r="X180" i="16"/>
  <c r="M13" i="17"/>
  <c r="M14" i="17" s="1"/>
  <c r="Y252" i="16"/>
  <c r="Y253" i="16" s="1"/>
  <c r="AE332" i="16"/>
  <c r="AE331" i="16"/>
  <c r="L295" i="16"/>
  <c r="L296" i="16" s="1"/>
  <c r="AI199" i="16"/>
  <c r="AI200" i="16" s="1"/>
  <c r="S167" i="16"/>
  <c r="S168" i="16" s="1"/>
  <c r="N87" i="16"/>
  <c r="N86" i="16"/>
  <c r="T97" i="17"/>
  <c r="T98" i="17" s="1"/>
  <c r="S95" i="17"/>
  <c r="S96" i="17" s="1"/>
  <c r="T15" i="17"/>
  <c r="T16" i="17" s="1"/>
  <c r="AB15" i="10"/>
  <c r="AA24" i="10"/>
  <c r="AA25" i="10" s="1"/>
  <c r="L81" i="17"/>
  <c r="L82" i="17" s="1"/>
  <c r="P18" i="15"/>
  <c r="P17" i="15"/>
  <c r="X250" i="16"/>
  <c r="X251" i="16" s="1"/>
  <c r="S1" i="10"/>
  <c r="R10" i="10"/>
  <c r="U25" i="17"/>
  <c r="U26" i="17" s="1"/>
  <c r="W100" i="16"/>
  <c r="W101" i="16"/>
  <c r="P86" i="17"/>
  <c r="P85" i="17"/>
  <c r="AG125" i="17"/>
  <c r="AG126" i="17"/>
  <c r="AE47" i="16"/>
  <c r="AE48" i="16" s="1"/>
  <c r="C15" i="11"/>
  <c r="F20" i="2" s="1"/>
  <c r="C11" i="11"/>
  <c r="B15" i="11"/>
  <c r="E20" i="2" s="1"/>
  <c r="C30" i="7" s="1"/>
  <c r="B11" i="11"/>
  <c r="D11" i="11"/>
  <c r="D15" i="11"/>
  <c r="G20" i="2" s="1"/>
  <c r="G15" i="11"/>
  <c r="J20" i="2" s="1"/>
  <c r="G11" i="11"/>
  <c r="L77" i="16"/>
  <c r="U6" i="2"/>
  <c r="U5" i="2" s="1"/>
  <c r="U15" i="2"/>
  <c r="U10" i="2"/>
  <c r="U24" i="2"/>
  <c r="U16" i="2"/>
  <c r="S8" i="15" s="1"/>
  <c r="S3" i="15" s="1"/>
  <c r="U11" i="2"/>
  <c r="T10" i="9"/>
  <c r="U13" i="2"/>
  <c r="U14" i="2"/>
  <c r="U7" i="2"/>
  <c r="I80" i="17"/>
  <c r="AB185" i="16" l="1"/>
  <c r="AB186" i="16"/>
  <c r="R84" i="17"/>
  <c r="R83" i="17"/>
  <c r="AG264" i="16"/>
  <c r="AG265" i="16"/>
  <c r="M80" i="16"/>
  <c r="M81" i="16" s="1"/>
  <c r="AC248" i="16"/>
  <c r="AC249" i="16"/>
  <c r="X241" i="16"/>
  <c r="X240" i="16"/>
  <c r="R305" i="16"/>
  <c r="R306" i="16"/>
  <c r="Y232" i="16"/>
  <c r="Y233" i="16" s="1"/>
  <c r="AB29" i="16"/>
  <c r="AB30" i="16"/>
  <c r="T301" i="16"/>
  <c r="T302" i="16" s="1"/>
  <c r="L293" i="16"/>
  <c r="L294" i="16"/>
  <c r="AA110" i="16"/>
  <c r="AA111" i="16" s="1"/>
  <c r="X244" i="16"/>
  <c r="X245" i="16"/>
  <c r="AE112" i="16"/>
  <c r="AE113" i="16" s="1"/>
  <c r="S78" i="16"/>
  <c r="S79" i="16"/>
  <c r="R93" i="17"/>
  <c r="R94" i="17" s="1"/>
  <c r="Y107" i="17"/>
  <c r="Y108" i="17"/>
  <c r="M150" i="16"/>
  <c r="M149" i="16"/>
  <c r="V171" i="16"/>
  <c r="V172" i="16" s="1"/>
  <c r="AF116" i="16"/>
  <c r="AF117" i="16" s="1"/>
  <c r="Q91" i="17"/>
  <c r="Q92" i="17" s="1"/>
  <c r="O9" i="16"/>
  <c r="O10" i="16" s="1"/>
  <c r="AA108" i="16"/>
  <c r="AA109" i="16"/>
  <c r="AI342" i="16"/>
  <c r="AI341" i="16"/>
  <c r="S84" i="16"/>
  <c r="S85" i="16"/>
  <c r="AC183" i="16"/>
  <c r="AC184" i="16" s="1"/>
  <c r="O226" i="16"/>
  <c r="O227" i="16"/>
  <c r="W98" i="16"/>
  <c r="W99" i="16" s="1"/>
  <c r="AB31" i="16"/>
  <c r="AB32" i="16"/>
  <c r="AG49" i="17"/>
  <c r="AG50" i="17" s="1"/>
  <c r="M81" i="17"/>
  <c r="M82" i="17"/>
  <c r="Y107" i="16"/>
  <c r="Y106" i="16"/>
  <c r="X101" i="17"/>
  <c r="X102" i="17" s="1"/>
  <c r="X27" i="16"/>
  <c r="X28" i="16" s="1"/>
  <c r="Q161" i="16"/>
  <c r="Q162" i="16"/>
  <c r="O11" i="17"/>
  <c r="O12" i="17" s="1"/>
  <c r="V25" i="17"/>
  <c r="V26" i="17" s="1"/>
  <c r="M295" i="16"/>
  <c r="M296" i="16" s="1"/>
  <c r="AG191" i="16"/>
  <c r="AG192" i="16" s="1"/>
  <c r="U16" i="17"/>
  <c r="U15" i="17"/>
  <c r="W242" i="16"/>
  <c r="W243" i="16" s="1"/>
  <c r="AD46" i="17"/>
  <c r="AD45" i="17"/>
  <c r="T23" i="17"/>
  <c r="T24" i="17" s="1"/>
  <c r="T163" i="16"/>
  <c r="T164" i="16" s="1"/>
  <c r="AE189" i="16"/>
  <c r="AE190" i="16" s="1"/>
  <c r="T167" i="16"/>
  <c r="T168" i="16" s="1"/>
  <c r="P9" i="17"/>
  <c r="P10" i="17" s="1"/>
  <c r="W173" i="16"/>
  <c r="W174" i="16" s="1"/>
  <c r="AI198" i="16"/>
  <c r="AI197" i="16"/>
  <c r="AC113" i="17"/>
  <c r="AC114" i="17" s="1"/>
  <c r="AG127" i="17"/>
  <c r="AG128" i="17" s="1"/>
  <c r="AI58" i="17"/>
  <c r="AI57" i="17"/>
  <c r="AC33" i="16"/>
  <c r="AC34" i="16" s="1"/>
  <c r="X99" i="17"/>
  <c r="X100" i="17" s="1"/>
  <c r="AI43" i="16"/>
  <c r="AI44" i="16"/>
  <c r="AD258" i="16"/>
  <c r="AD259" i="16" s="1"/>
  <c r="AF48" i="16"/>
  <c r="AF47" i="16"/>
  <c r="AG260" i="16"/>
  <c r="AG261" i="16" s="1"/>
  <c r="T95" i="17"/>
  <c r="T96" i="17" s="1"/>
  <c r="Y311" i="16"/>
  <c r="Y312" i="16" s="1"/>
  <c r="AB326" i="16"/>
  <c r="AB325" i="16"/>
  <c r="AA181" i="16"/>
  <c r="AA182" i="16" s="1"/>
  <c r="AD39" i="16"/>
  <c r="AD40" i="16" s="1"/>
  <c r="T19" i="16"/>
  <c r="T20" i="16" s="1"/>
  <c r="AA178" i="16"/>
  <c r="AA177" i="16"/>
  <c r="S299" i="16"/>
  <c r="S300" i="16" s="1"/>
  <c r="Y250" i="16"/>
  <c r="Y251" i="16"/>
  <c r="U97" i="17"/>
  <c r="U98" i="17" s="1"/>
  <c r="Z253" i="16"/>
  <c r="Z252" i="16"/>
  <c r="AA309" i="16"/>
  <c r="AA310" i="16" s="1"/>
  <c r="AH262" i="16"/>
  <c r="AH263" i="16"/>
  <c r="X23" i="16"/>
  <c r="X24" i="16" s="1"/>
  <c r="X33" i="17"/>
  <c r="X34" i="17" s="1"/>
  <c r="R19" i="17"/>
  <c r="R20" i="17" s="1"/>
  <c r="X246" i="16"/>
  <c r="X247" i="16" s="1"/>
  <c r="O157" i="16"/>
  <c r="O158" i="16" s="1"/>
  <c r="X95" i="16"/>
  <c r="X94" i="16"/>
  <c r="AD104" i="16"/>
  <c r="AD105" i="16" s="1"/>
  <c r="N13" i="17"/>
  <c r="N14" i="17" s="1"/>
  <c r="O153" i="16"/>
  <c r="O154" i="16" s="1"/>
  <c r="J21" i="2"/>
  <c r="H29" i="7" s="1"/>
  <c r="V29" i="17"/>
  <c r="V30" i="17" s="1"/>
  <c r="S21" i="16"/>
  <c r="S22" i="16"/>
  <c r="W21" i="17"/>
  <c r="W22" i="17" s="1"/>
  <c r="Z317" i="16"/>
  <c r="Z318" i="16" s="1"/>
  <c r="Z35" i="17"/>
  <c r="Z36" i="17" s="1"/>
  <c r="AI193" i="16"/>
  <c r="AI194" i="16"/>
  <c r="AB321" i="16"/>
  <c r="AB322" i="16" s="1"/>
  <c r="T92" i="16"/>
  <c r="T93" i="16" s="1"/>
  <c r="X100" i="16"/>
  <c r="X101" i="16" s="1"/>
  <c r="AG114" i="16"/>
  <c r="AG115" i="16" s="1"/>
  <c r="Y180" i="16"/>
  <c r="Y179" i="16"/>
  <c r="I219" i="16"/>
  <c r="H12" i="2"/>
  <c r="H9" i="2" s="1"/>
  <c r="H18" i="2" s="1"/>
  <c r="E32" i="11"/>
  <c r="S10" i="8"/>
  <c r="U35" i="2"/>
  <c r="AH126" i="17"/>
  <c r="AH125" i="17"/>
  <c r="S307" i="16"/>
  <c r="S308" i="16" s="1"/>
  <c r="Q32" i="11"/>
  <c r="T12" i="2"/>
  <c r="T9" i="2" s="1"/>
  <c r="T18" i="2" s="1"/>
  <c r="Q31" i="8"/>
  <c r="P90" i="17"/>
  <c r="P89" i="17"/>
  <c r="AD32" i="11"/>
  <c r="AH266" i="16"/>
  <c r="AH267" i="16"/>
  <c r="AE41" i="16"/>
  <c r="AE42" i="16" s="1"/>
  <c r="W32" i="11"/>
  <c r="I354" i="16"/>
  <c r="J289" i="16"/>
  <c r="J353" i="16" s="1"/>
  <c r="AD111" i="17"/>
  <c r="AD112" i="17" s="1"/>
  <c r="N78" i="17"/>
  <c r="N77" i="17"/>
  <c r="T32" i="11"/>
  <c r="AB37" i="17"/>
  <c r="AB38" i="17" s="1"/>
  <c r="S12" i="2"/>
  <c r="S9" i="2" s="1"/>
  <c r="S18" i="2" s="1"/>
  <c r="P32" i="11"/>
  <c r="G32" i="11"/>
  <c r="J12" i="2"/>
  <c r="J9" i="2" s="1"/>
  <c r="J18" i="2" s="1"/>
  <c r="R11" i="10"/>
  <c r="R60" i="10" s="1"/>
  <c r="R59" i="10"/>
  <c r="J80" i="17"/>
  <c r="J79" i="17"/>
  <c r="J141" i="17" s="1"/>
  <c r="I142" i="17"/>
  <c r="S24" i="7"/>
  <c r="S27" i="8" s="1"/>
  <c r="S36" i="8" s="1"/>
  <c r="D32" i="11"/>
  <c r="G12" i="2"/>
  <c r="G9" i="2" s="1"/>
  <c r="G18" i="2" s="1"/>
  <c r="T1" i="10"/>
  <c r="S10" i="10"/>
  <c r="R43" i="29"/>
  <c r="R13" i="15"/>
  <c r="R12" i="15" s="1"/>
  <c r="R15" i="15" s="1"/>
  <c r="Q18" i="15"/>
  <c r="Q17" i="15"/>
  <c r="I12" i="2"/>
  <c r="I9" i="2" s="1"/>
  <c r="I18" i="2" s="1"/>
  <c r="F32" i="11"/>
  <c r="G361" i="16"/>
  <c r="E14" i="7" s="1"/>
  <c r="E16" i="7" s="1"/>
  <c r="M32" i="11"/>
  <c r="P12" i="2"/>
  <c r="P9" i="2" s="1"/>
  <c r="P18" i="2" s="1"/>
  <c r="AB32" i="11"/>
  <c r="Z32" i="11"/>
  <c r="M12" i="2"/>
  <c r="M9" i="2" s="1"/>
  <c r="M18" i="2" s="1"/>
  <c r="J32" i="11"/>
  <c r="X316" i="16"/>
  <c r="X315" i="16"/>
  <c r="R91" i="16"/>
  <c r="R90" i="16"/>
  <c r="AD118" i="16"/>
  <c r="AD119" i="16" s="1"/>
  <c r="M224" i="16"/>
  <c r="M225" i="16" s="1"/>
  <c r="X175" i="16"/>
  <c r="X176" i="16" s="1"/>
  <c r="X169" i="16"/>
  <c r="X170" i="16" s="1"/>
  <c r="AF51" i="16"/>
  <c r="AF52" i="16" s="1"/>
  <c r="Q228" i="16"/>
  <c r="Q229" i="16" s="1"/>
  <c r="O291" i="16"/>
  <c r="O292" i="16" s="1"/>
  <c r="S43" i="29"/>
  <c r="S13" i="15"/>
  <c r="S12" i="15" s="1"/>
  <c r="S8" i="7" s="1"/>
  <c r="S22" i="8" s="1"/>
  <c r="M76" i="16"/>
  <c r="M77" i="16"/>
  <c r="E12" i="10"/>
  <c r="D62" i="10"/>
  <c r="E28" i="7" s="1"/>
  <c r="U87" i="17"/>
  <c r="U88" i="17"/>
  <c r="X238" i="16"/>
  <c r="X239" i="16" s="1"/>
  <c r="Y32" i="11"/>
  <c r="O12" i="2"/>
  <c r="O9" i="2" s="1"/>
  <c r="O18" i="2" s="1"/>
  <c r="L32" i="11"/>
  <c r="AH122" i="16"/>
  <c r="AH123" i="16"/>
  <c r="B32" i="11"/>
  <c r="E12" i="2"/>
  <c r="E9" i="2" s="1"/>
  <c r="E18" i="2" s="1"/>
  <c r="AC15" i="10"/>
  <c r="AB24" i="10"/>
  <c r="AB25" i="10" s="1"/>
  <c r="O86" i="16"/>
  <c r="O87" i="16" s="1"/>
  <c r="AF331" i="16"/>
  <c r="AF332" i="16"/>
  <c r="H360" i="16"/>
  <c r="H19" i="2" s="1"/>
  <c r="I147" i="16"/>
  <c r="I211" i="16" s="1"/>
  <c r="I148" i="16"/>
  <c r="H212" i="16"/>
  <c r="V32" i="11"/>
  <c r="Z109" i="17"/>
  <c r="Z110" i="17"/>
  <c r="AB31" i="29"/>
  <c r="AB32" i="29" s="1"/>
  <c r="AC15" i="9"/>
  <c r="AA18" i="34"/>
  <c r="V12" i="2"/>
  <c r="S32" i="11"/>
  <c r="AI43" i="10"/>
  <c r="AI52" i="10" s="1"/>
  <c r="AI53" i="10" s="1"/>
  <c r="AH52" i="10"/>
  <c r="AH53" i="10" s="1"/>
  <c r="AE329" i="16"/>
  <c r="AE330" i="16"/>
  <c r="P230" i="16"/>
  <c r="P231" i="16"/>
  <c r="D30" i="7"/>
  <c r="C31" i="7"/>
  <c r="Q85" i="17"/>
  <c r="Q86" i="17"/>
  <c r="AH335" i="16"/>
  <c r="AH336" i="16"/>
  <c r="AF32" i="11"/>
  <c r="T220" i="16"/>
  <c r="T221" i="16" s="1"/>
  <c r="X32" i="11"/>
  <c r="I7" i="16"/>
  <c r="I69" i="16" s="1"/>
  <c r="I360" i="16" s="1"/>
  <c r="I19" i="2" s="1"/>
  <c r="I8" i="16"/>
  <c r="H70" i="16"/>
  <c r="F36" i="7"/>
  <c r="K12" i="2"/>
  <c r="K9" i="2" s="1"/>
  <c r="K18" i="2" s="1"/>
  <c r="H32" i="11"/>
  <c r="AC29" i="10"/>
  <c r="AB38" i="10"/>
  <c r="AB39" i="10" s="1"/>
  <c r="U12" i="2"/>
  <c r="U9" i="2" s="1"/>
  <c r="U18" i="2" s="1"/>
  <c r="R32" i="11"/>
  <c r="S11" i="16"/>
  <c r="S12" i="16" s="1"/>
  <c r="T15" i="16"/>
  <c r="T16" i="16"/>
  <c r="S234" i="16"/>
  <c r="S235" i="16" s="1"/>
  <c r="V20" i="2"/>
  <c r="AC254" i="16"/>
  <c r="AC255" i="16" s="1"/>
  <c r="AE32" i="11"/>
  <c r="AH37" i="16"/>
  <c r="AH38" i="16" s="1"/>
  <c r="L151" i="16"/>
  <c r="L152" i="16"/>
  <c r="Q17" i="16"/>
  <c r="Q18" i="16" s="1"/>
  <c r="K41" i="10"/>
  <c r="K40" i="10"/>
  <c r="K39" i="10" s="1"/>
  <c r="AG49" i="16"/>
  <c r="AG50" i="16" s="1"/>
  <c r="U25" i="16"/>
  <c r="U26" i="16"/>
  <c r="N14" i="16"/>
  <c r="N13" i="16"/>
  <c r="Q17" i="17"/>
  <c r="Q18" i="17"/>
  <c r="AH51" i="17"/>
  <c r="AH52" i="17" s="1"/>
  <c r="Z103" i="17"/>
  <c r="Z104" i="17"/>
  <c r="U160" i="16"/>
  <c r="U159" i="16"/>
  <c r="L82" i="16"/>
  <c r="L83" i="16" s="1"/>
  <c r="M6" i="16"/>
  <c r="AC32" i="11"/>
  <c r="X105" i="17"/>
  <c r="X106" i="17" s="1"/>
  <c r="O155" i="16"/>
  <c r="O156" i="16"/>
  <c r="W303" i="16"/>
  <c r="W304" i="16" s="1"/>
  <c r="U32" i="11"/>
  <c r="AI119" i="17"/>
  <c r="AI120" i="17"/>
  <c r="M222" i="16"/>
  <c r="M223" i="16"/>
  <c r="X314" i="16"/>
  <c r="X313" i="16"/>
  <c r="R165" i="16"/>
  <c r="R166" i="16" s="1"/>
  <c r="AE102" i="16"/>
  <c r="AE103" i="16"/>
  <c r="Q12" i="2"/>
  <c r="Q9" i="2" s="1"/>
  <c r="Q18" i="2" s="1"/>
  <c r="N32" i="11"/>
  <c r="W97" i="16"/>
  <c r="W96" i="16"/>
  <c r="V7" i="2"/>
  <c r="V14" i="2"/>
  <c r="V6" i="2"/>
  <c r="U10" i="9"/>
  <c r="V13" i="2"/>
  <c r="V16" i="2"/>
  <c r="T8" i="15" s="1"/>
  <c r="T3" i="15" s="1"/>
  <c r="V24" i="2"/>
  <c r="V10" i="2"/>
  <c r="V15" i="2"/>
  <c r="V11" i="2"/>
  <c r="E14" i="8"/>
  <c r="E47" i="8"/>
  <c r="S150" i="17"/>
  <c r="T144" i="17"/>
  <c r="AH32" i="11"/>
  <c r="AG123" i="17"/>
  <c r="AG124" i="17"/>
  <c r="F9" i="7"/>
  <c r="F23" i="8" s="1"/>
  <c r="G16" i="15"/>
  <c r="G19" i="15" s="1"/>
  <c r="R14" i="8"/>
  <c r="R47" i="8"/>
  <c r="AE115" i="17"/>
  <c r="AE116" i="17"/>
  <c r="I148" i="17"/>
  <c r="G13" i="7" s="1"/>
  <c r="U236" i="16"/>
  <c r="U237" i="16" s="1"/>
  <c r="I26" i="10"/>
  <c r="I25" i="10" s="1"/>
  <c r="I27" i="10"/>
  <c r="J72" i="16"/>
  <c r="I363" i="16"/>
  <c r="L55" i="10"/>
  <c r="L54" i="10"/>
  <c r="L53" i="10" s="1"/>
  <c r="O88" i="16"/>
  <c r="O89" i="16" s="1"/>
  <c r="X319" i="16"/>
  <c r="X320" i="16"/>
  <c r="V28" i="17"/>
  <c r="V27" i="17"/>
  <c r="AB257" i="16"/>
  <c r="AB256" i="16"/>
  <c r="X31" i="17"/>
  <c r="X32" i="17" s="1"/>
  <c r="AC43" i="17"/>
  <c r="AC44" i="17" s="1"/>
  <c r="AF39" i="17"/>
  <c r="AF40" i="17" s="1"/>
  <c r="F12" i="2"/>
  <c r="F9" i="2" s="1"/>
  <c r="F18" i="2" s="1"/>
  <c r="C32" i="11"/>
  <c r="N297" i="16"/>
  <c r="N298" i="16" s="1"/>
  <c r="S15" i="15"/>
  <c r="N12" i="2"/>
  <c r="N9" i="2" s="1"/>
  <c r="N18" i="2" s="1"/>
  <c r="K32" i="11"/>
  <c r="Y35" i="16"/>
  <c r="Y36" i="16" s="1"/>
  <c r="AI117" i="17"/>
  <c r="AI118" i="17" s="1"/>
  <c r="AD187" i="16"/>
  <c r="AD188" i="16"/>
  <c r="AA32" i="11"/>
  <c r="E32" i="8"/>
  <c r="E30" i="8" s="1"/>
  <c r="E6" i="8" s="1"/>
  <c r="E21" i="8"/>
  <c r="P31" i="8"/>
  <c r="R12" i="2"/>
  <c r="R9" i="2" s="1"/>
  <c r="R18" i="2" s="1"/>
  <c r="O32" i="11"/>
  <c r="L12" i="2"/>
  <c r="L9" i="2" s="1"/>
  <c r="L18" i="2" s="1"/>
  <c r="I32" i="11"/>
  <c r="J8" i="17"/>
  <c r="M6" i="17"/>
  <c r="AE118" i="16" l="1"/>
  <c r="AE119" i="16" s="1"/>
  <c r="AC38" i="17"/>
  <c r="AC37" i="17"/>
  <c r="AF41" i="16"/>
  <c r="AF42" i="16" s="1"/>
  <c r="P153" i="16"/>
  <c r="P154" i="16" s="1"/>
  <c r="Y33" i="17"/>
  <c r="Y34" i="17" s="1"/>
  <c r="P11" i="17"/>
  <c r="P12" i="17" s="1"/>
  <c r="AG116" i="16"/>
  <c r="AG117" i="16" s="1"/>
  <c r="Y23" i="16"/>
  <c r="Y24" i="16" s="1"/>
  <c r="Y238" i="16"/>
  <c r="Y239" i="16" s="1"/>
  <c r="S165" i="16"/>
  <c r="S166" i="16"/>
  <c r="AG39" i="17"/>
  <c r="AG40" i="17" s="1"/>
  <c r="T308" i="16"/>
  <c r="T307" i="16"/>
  <c r="AE112" i="17"/>
  <c r="AE111" i="17"/>
  <c r="Y100" i="16"/>
  <c r="Y101" i="16"/>
  <c r="AB310" i="16"/>
  <c r="AB309" i="16"/>
  <c r="AH260" i="16"/>
  <c r="AH261" i="16" s="1"/>
  <c r="U167" i="16"/>
  <c r="U168" i="16" s="1"/>
  <c r="Y101" i="17"/>
  <c r="Y102" i="17" s="1"/>
  <c r="X98" i="16"/>
  <c r="X99" i="16" s="1"/>
  <c r="AB110" i="16"/>
  <c r="AB111" i="16" s="1"/>
  <c r="AI37" i="16"/>
  <c r="AI38" i="16" s="1"/>
  <c r="V236" i="16"/>
  <c r="V237" i="16"/>
  <c r="U93" i="16"/>
  <c r="U92" i="16"/>
  <c r="P158" i="16"/>
  <c r="P157" i="16"/>
  <c r="U19" i="16"/>
  <c r="U20" i="16" s="1"/>
  <c r="AF189" i="16"/>
  <c r="AF190" i="16"/>
  <c r="AH191" i="16"/>
  <c r="AH192" i="16" s="1"/>
  <c r="X303" i="16"/>
  <c r="X304" i="16" s="1"/>
  <c r="O13" i="17"/>
  <c r="O14" i="17" s="1"/>
  <c r="AH49" i="17"/>
  <c r="AH50" i="17" s="1"/>
  <c r="W171" i="16"/>
  <c r="W172" i="16" s="1"/>
  <c r="AF112" i="16"/>
  <c r="AF113" i="16" s="1"/>
  <c r="N81" i="16"/>
  <c r="N80" i="16"/>
  <c r="Z36" i="16"/>
  <c r="Z35" i="16"/>
  <c r="AD44" i="17"/>
  <c r="AD43" i="17"/>
  <c r="P89" i="16"/>
  <c r="P88" i="16"/>
  <c r="AH49" i="16"/>
  <c r="AH50" i="16" s="1"/>
  <c r="AD255" i="16"/>
  <c r="AD254" i="16"/>
  <c r="P291" i="16"/>
  <c r="P292" i="16" s="1"/>
  <c r="AA318" i="16"/>
  <c r="AA317" i="16"/>
  <c r="AE104" i="16"/>
  <c r="AE105" i="16" s="1"/>
  <c r="T299" i="16"/>
  <c r="T300" i="16" s="1"/>
  <c r="Z311" i="16"/>
  <c r="Z312" i="16" s="1"/>
  <c r="Y100" i="17"/>
  <c r="Y99" i="17"/>
  <c r="X173" i="16"/>
  <c r="X174" i="16" s="1"/>
  <c r="X242" i="16"/>
  <c r="X243" i="16" s="1"/>
  <c r="Z232" i="16"/>
  <c r="Z233" i="16" s="1"/>
  <c r="Y32" i="17"/>
  <c r="Y31" i="17"/>
  <c r="Y105" i="17"/>
  <c r="Y106" i="17" s="1"/>
  <c r="AI51" i="17"/>
  <c r="AI52" i="17" s="1"/>
  <c r="U221" i="16"/>
  <c r="U220" i="16"/>
  <c r="R229" i="16"/>
  <c r="R228" i="16"/>
  <c r="U95" i="17"/>
  <c r="U96" i="17" s="1"/>
  <c r="AD33" i="16"/>
  <c r="AD34" i="16" s="1"/>
  <c r="Y27" i="16"/>
  <c r="Y28" i="16" s="1"/>
  <c r="Y247" i="16"/>
  <c r="Y246" i="16"/>
  <c r="S5" i="8"/>
  <c r="AA35" i="17"/>
  <c r="AA36" i="17" s="1"/>
  <c r="AH114" i="16"/>
  <c r="AH115" i="16" s="1"/>
  <c r="X22" i="17"/>
  <c r="X21" i="17"/>
  <c r="Q9" i="17"/>
  <c r="Q10" i="17" s="1"/>
  <c r="T234" i="16"/>
  <c r="T235" i="16" s="1"/>
  <c r="AG51" i="16"/>
  <c r="AG52" i="16" s="1"/>
  <c r="R17" i="16"/>
  <c r="R18" i="16" s="1"/>
  <c r="Y169" i="16"/>
  <c r="Y170" i="16" s="1"/>
  <c r="O297" i="16"/>
  <c r="O298" i="16" s="1"/>
  <c r="M82" i="16"/>
  <c r="M83" i="16" s="1"/>
  <c r="L141" i="16"/>
  <c r="Y175" i="16"/>
  <c r="Y176" i="16"/>
  <c r="AC321" i="16"/>
  <c r="AC322" i="16"/>
  <c r="W29" i="17"/>
  <c r="W30" i="17"/>
  <c r="AE39" i="16"/>
  <c r="AE40" i="16"/>
  <c r="AH127" i="17"/>
  <c r="AH128" i="17" s="1"/>
  <c r="U163" i="16"/>
  <c r="U164" i="16" s="1"/>
  <c r="N295" i="16"/>
  <c r="N296" i="16" s="1"/>
  <c r="P9" i="16"/>
  <c r="P10" i="16"/>
  <c r="S93" i="17"/>
  <c r="S94" i="17"/>
  <c r="T11" i="16"/>
  <c r="T12" i="16" s="1"/>
  <c r="P86" i="16"/>
  <c r="P87" i="16" s="1"/>
  <c r="N224" i="16"/>
  <c r="N225" i="16"/>
  <c r="R5" i="8"/>
  <c r="K21" i="2"/>
  <c r="I29" i="7" s="1"/>
  <c r="S19" i="17"/>
  <c r="S20" i="17" s="1"/>
  <c r="V97" i="17"/>
  <c r="V98" i="17"/>
  <c r="AB181" i="16"/>
  <c r="AB182" i="16" s="1"/>
  <c r="AE258" i="16"/>
  <c r="AE259" i="16"/>
  <c r="AD113" i="17"/>
  <c r="AD114" i="17"/>
  <c r="U23" i="17"/>
  <c r="U24" i="17"/>
  <c r="W25" i="17"/>
  <c r="W26" i="17" s="1"/>
  <c r="AD183" i="16"/>
  <c r="AD184" i="16" s="1"/>
  <c r="R91" i="17"/>
  <c r="R92" i="17"/>
  <c r="U301" i="16"/>
  <c r="U302" i="16"/>
  <c r="F23" i="2"/>
  <c r="D5" i="8"/>
  <c r="D8" i="8" s="1"/>
  <c r="P5" i="8"/>
  <c r="AE187" i="16"/>
  <c r="AE188" i="16"/>
  <c r="L5" i="8"/>
  <c r="Y319" i="16"/>
  <c r="Y320" i="16" s="1"/>
  <c r="L40" i="10"/>
  <c r="L39" i="10" s="1"/>
  <c r="L41" i="10"/>
  <c r="I5" i="8"/>
  <c r="M5" i="8"/>
  <c r="E6" i="19"/>
  <c r="E31" i="7"/>
  <c r="L140" i="16"/>
  <c r="R18" i="15"/>
  <c r="R17" i="15"/>
  <c r="Q5" i="8"/>
  <c r="O77" i="17"/>
  <c r="Z179" i="16"/>
  <c r="Z180" i="16" s="1"/>
  <c r="U144" i="17"/>
  <c r="T150" i="17"/>
  <c r="N222" i="16"/>
  <c r="N223" i="16"/>
  <c r="P155" i="16"/>
  <c r="P156" i="16" s="1"/>
  <c r="S18" i="15"/>
  <c r="S17" i="15"/>
  <c r="G9" i="7"/>
  <c r="G23" i="8" s="1"/>
  <c r="H16" i="15"/>
  <c r="H19" i="15" s="1"/>
  <c r="O5" i="8"/>
  <c r="E61" i="10"/>
  <c r="E11" i="10"/>
  <c r="Q89" i="17"/>
  <c r="Q90" i="17" s="1"/>
  <c r="AI125" i="17"/>
  <c r="AI126" i="17" s="1"/>
  <c r="V15" i="17"/>
  <c r="V16" i="17" s="1"/>
  <c r="Z106" i="16"/>
  <c r="Z107" i="16" s="1"/>
  <c r="J5" i="8"/>
  <c r="AC256" i="16"/>
  <c r="AC257" i="16" s="1"/>
  <c r="M55" i="10"/>
  <c r="M54" i="10"/>
  <c r="M53" i="10" s="1"/>
  <c r="AF115" i="17"/>
  <c r="AF116" i="17"/>
  <c r="J8" i="16"/>
  <c r="J7" i="16"/>
  <c r="J69" i="16" s="1"/>
  <c r="I70" i="16"/>
  <c r="AI335" i="16"/>
  <c r="AI336" i="16" s="1"/>
  <c r="AF329" i="16"/>
  <c r="AF330" i="16" s="1"/>
  <c r="F21" i="8"/>
  <c r="F32" i="8"/>
  <c r="F30" i="8" s="1"/>
  <c r="F6" i="8" s="1"/>
  <c r="S11" i="10"/>
  <c r="S60" i="10" s="1"/>
  <c r="S59" i="10"/>
  <c r="K79" i="17"/>
  <c r="K141" i="17" s="1"/>
  <c r="K80" i="17"/>
  <c r="J142" i="17"/>
  <c r="T21" i="16"/>
  <c r="T22" i="16"/>
  <c r="AI262" i="16"/>
  <c r="AI263" i="16"/>
  <c r="Z250" i="16"/>
  <c r="Z251" i="16" s="1"/>
  <c r="R161" i="16"/>
  <c r="R162" i="16"/>
  <c r="N81" i="17"/>
  <c r="N82" i="17"/>
  <c r="P226" i="16"/>
  <c r="P227" i="16"/>
  <c r="AB108" i="16"/>
  <c r="AB109" i="16"/>
  <c r="T78" i="16"/>
  <c r="T79" i="16"/>
  <c r="M293" i="16"/>
  <c r="M294" i="16"/>
  <c r="S305" i="16"/>
  <c r="S306" i="16" s="1"/>
  <c r="AH264" i="16"/>
  <c r="AH265" i="16"/>
  <c r="W16" i="2"/>
  <c r="U8" i="15" s="1"/>
  <c r="U3" i="15" s="1"/>
  <c r="V10" i="9"/>
  <c r="W15" i="2"/>
  <c r="W14" i="2"/>
  <c r="W7" i="2"/>
  <c r="W10" i="2"/>
  <c r="W6" i="2"/>
  <c r="W13" i="2"/>
  <c r="W24" i="2"/>
  <c r="W11" i="2"/>
  <c r="AF103" i="16"/>
  <c r="AF102" i="16"/>
  <c r="V160" i="16"/>
  <c r="V159" i="16"/>
  <c r="O14" i="16"/>
  <c r="O13" i="16"/>
  <c r="AA109" i="17"/>
  <c r="AA110" i="17"/>
  <c r="AD15" i="10"/>
  <c r="AC24" i="10"/>
  <c r="AC25" i="10" s="1"/>
  <c r="N76" i="16"/>
  <c r="N77" i="16" s="1"/>
  <c r="S90" i="16"/>
  <c r="S91" i="16" s="1"/>
  <c r="G5" i="8"/>
  <c r="I23" i="2"/>
  <c r="K7" i="17"/>
  <c r="K69" i="17" s="1"/>
  <c r="K8" i="17"/>
  <c r="J70" i="17"/>
  <c r="J148" i="17" s="1"/>
  <c r="H13" i="7" s="1"/>
  <c r="AH123" i="17"/>
  <c r="AH124" i="17" s="1"/>
  <c r="V5" i="2"/>
  <c r="AA103" i="17"/>
  <c r="AA104" i="17"/>
  <c r="V25" i="16"/>
  <c r="V26" i="16"/>
  <c r="M151" i="16"/>
  <c r="M152" i="16"/>
  <c r="Q230" i="16"/>
  <c r="Q231" i="16"/>
  <c r="C5" i="8"/>
  <c r="C8" i="8" s="1"/>
  <c r="E23" i="2"/>
  <c r="M140" i="16"/>
  <c r="W20" i="2"/>
  <c r="U1" i="10"/>
  <c r="T10" i="10"/>
  <c r="J147" i="17"/>
  <c r="AI266" i="16"/>
  <c r="AI267" i="16"/>
  <c r="J26" i="10"/>
  <c r="J25" i="10" s="1"/>
  <c r="J27" i="10" s="1"/>
  <c r="N5" i="17"/>
  <c r="G36" i="7"/>
  <c r="E30" i="7"/>
  <c r="F30" i="7" s="1"/>
  <c r="G30" i="7" s="1"/>
  <c r="D31" i="7"/>
  <c r="H361" i="16"/>
  <c r="F14" i="7" s="1"/>
  <c r="F16" i="7" s="1"/>
  <c r="N5" i="8"/>
  <c r="G23" i="2"/>
  <c r="E5" i="8"/>
  <c r="E8" i="8" s="1"/>
  <c r="S47" i="8"/>
  <c r="S14" i="8"/>
  <c r="W12" i="2"/>
  <c r="AC31" i="29"/>
  <c r="AC32" i="29" s="1"/>
  <c r="AB18" i="34"/>
  <c r="AD15" i="9"/>
  <c r="AG331" i="16"/>
  <c r="AG332" i="16"/>
  <c r="AI122" i="16"/>
  <c r="AI123" i="16"/>
  <c r="V87" i="17"/>
  <c r="V88" i="17"/>
  <c r="H5" i="8"/>
  <c r="F5" i="8"/>
  <c r="H23" i="2"/>
  <c r="AE45" i="17"/>
  <c r="AE46" i="17" s="1"/>
  <c r="N150" i="16"/>
  <c r="N149" i="16"/>
  <c r="Y240" i="16"/>
  <c r="Y241" i="16"/>
  <c r="S83" i="17"/>
  <c r="S84" i="17"/>
  <c r="T24" i="7"/>
  <c r="T27" i="8" s="1"/>
  <c r="T36" i="8" s="1"/>
  <c r="V9" i="2"/>
  <c r="N5" i="16"/>
  <c r="N6" i="16"/>
  <c r="AD29" i="10"/>
  <c r="AC38" i="10"/>
  <c r="AC39" i="10" s="1"/>
  <c r="J290" i="16"/>
  <c r="J218" i="16"/>
  <c r="J282" i="16" s="1"/>
  <c r="J219" i="16"/>
  <c r="I283" i="16"/>
  <c r="AC31" i="16"/>
  <c r="AC32" i="16"/>
  <c r="T84" i="16"/>
  <c r="T85" i="16"/>
  <c r="Z107" i="17"/>
  <c r="Z108" i="17"/>
  <c r="Y244" i="16"/>
  <c r="Y245" i="16"/>
  <c r="AC29" i="16"/>
  <c r="AC30" i="16"/>
  <c r="AD248" i="16"/>
  <c r="AD249" i="16"/>
  <c r="AC185" i="16"/>
  <c r="AC186" i="16" s="1"/>
  <c r="Y315" i="16"/>
  <c r="Y316" i="16" s="1"/>
  <c r="W27" i="17"/>
  <c r="W28" i="17" s="1"/>
  <c r="K72" i="16"/>
  <c r="J363" i="16"/>
  <c r="T10" i="8"/>
  <c r="V35" i="2"/>
  <c r="X96" i="16"/>
  <c r="X97" i="16"/>
  <c r="Y313" i="16"/>
  <c r="Y314" i="16" s="1"/>
  <c r="R17" i="17"/>
  <c r="R18" i="17" s="1"/>
  <c r="U15" i="16"/>
  <c r="U16" i="16" s="1"/>
  <c r="R85" i="17"/>
  <c r="R86" i="17" s="1"/>
  <c r="J147" i="16"/>
  <c r="J211" i="16" s="1"/>
  <c r="I212" i="16"/>
  <c r="K5" i="8"/>
  <c r="R8" i="7"/>
  <c r="R22" i="8" s="1"/>
  <c r="S31" i="8" s="1"/>
  <c r="Y94" i="16"/>
  <c r="Y95" i="16" s="1"/>
  <c r="AA252" i="16"/>
  <c r="AA253" i="16"/>
  <c r="AB177" i="16"/>
  <c r="AB178" i="16" s="1"/>
  <c r="AC325" i="16"/>
  <c r="AC326" i="16" s="1"/>
  <c r="AG47" i="16"/>
  <c r="AG48" i="16" s="1"/>
  <c r="S17" i="17" l="1"/>
  <c r="S18" i="17"/>
  <c r="Z319" i="16"/>
  <c r="Z320" i="16" s="1"/>
  <c r="S17" i="16"/>
  <c r="S18" i="16" s="1"/>
  <c r="Q291" i="16"/>
  <c r="Q292" i="16"/>
  <c r="Y303" i="16"/>
  <c r="Y304" i="16"/>
  <c r="Z94" i="16"/>
  <c r="Z95" i="16"/>
  <c r="Z315" i="16"/>
  <c r="Z316" i="16"/>
  <c r="AC177" i="16"/>
  <c r="AC178" i="16"/>
  <c r="S85" i="17"/>
  <c r="S86" i="17"/>
  <c r="T19" i="17"/>
  <c r="T20" i="17" s="1"/>
  <c r="P297" i="16"/>
  <c r="P298" i="16"/>
  <c r="AI114" i="16"/>
  <c r="AI115" i="16"/>
  <c r="AA232" i="16"/>
  <c r="AA233" i="16"/>
  <c r="AI49" i="17"/>
  <c r="AI50" i="17"/>
  <c r="Z101" i="17"/>
  <c r="Z102" i="17"/>
  <c r="AH116" i="16"/>
  <c r="AH117" i="16"/>
  <c r="Y242" i="16"/>
  <c r="Y243" i="16"/>
  <c r="P13" i="17"/>
  <c r="P14" i="17"/>
  <c r="V167" i="16"/>
  <c r="V168" i="16" s="1"/>
  <c r="Q11" i="17"/>
  <c r="Q12" i="17" s="1"/>
  <c r="Z33" i="17"/>
  <c r="Z34" i="17" s="1"/>
  <c r="K27" i="10"/>
  <c r="K26" i="10"/>
  <c r="K25" i="10" s="1"/>
  <c r="Q156" i="16"/>
  <c r="Q155" i="16"/>
  <c r="L21" i="2"/>
  <c r="J29" i="7" s="1"/>
  <c r="AB35" i="17"/>
  <c r="AB36" i="17"/>
  <c r="AG330" i="16"/>
  <c r="AG329" i="16"/>
  <c r="O295" i="16"/>
  <c r="O296" i="16" s="1"/>
  <c r="AH51" i="16"/>
  <c r="AH52" i="16"/>
  <c r="AI191" i="16"/>
  <c r="AI192" i="16"/>
  <c r="AH39" i="17"/>
  <c r="AH40" i="17" s="1"/>
  <c r="Q153" i="16"/>
  <c r="Q154" i="16" s="1"/>
  <c r="V15" i="16"/>
  <c r="V16" i="16"/>
  <c r="Z169" i="16"/>
  <c r="Z170" i="16"/>
  <c r="AG41" i="16"/>
  <c r="AG42" i="16" s="1"/>
  <c r="Q86" i="16"/>
  <c r="Q87" i="16" s="1"/>
  <c r="Z105" i="17"/>
  <c r="Z106" i="17" s="1"/>
  <c r="AA311" i="16"/>
  <c r="AA312" i="16"/>
  <c r="AI49" i="16"/>
  <c r="AI50" i="16" s="1"/>
  <c r="AF45" i="17"/>
  <c r="AF46" i="17" s="1"/>
  <c r="R89" i="17"/>
  <c r="R90" i="17"/>
  <c r="R9" i="17"/>
  <c r="R10" i="17"/>
  <c r="X27" i="17"/>
  <c r="X28" i="17" s="1"/>
  <c r="T90" i="16"/>
  <c r="T91" i="16"/>
  <c r="T305" i="16"/>
  <c r="T306" i="16"/>
  <c r="Y173" i="16"/>
  <c r="Y174" i="16" s="1"/>
  <c r="AI260" i="16"/>
  <c r="AI261" i="16" s="1"/>
  <c r="Z313" i="16"/>
  <c r="Z314" i="16"/>
  <c r="O76" i="16"/>
  <c r="AD186" i="16"/>
  <c r="AD185" i="16"/>
  <c r="AI123" i="17"/>
  <c r="AI124" i="17" s="1"/>
  <c r="AD256" i="16"/>
  <c r="AD257" i="16" s="1"/>
  <c r="V163" i="16"/>
  <c r="V164" i="16"/>
  <c r="U234" i="16"/>
  <c r="U235" i="16" s="1"/>
  <c r="AE183" i="16"/>
  <c r="AE184" i="16" s="1"/>
  <c r="AC182" i="16"/>
  <c r="AC181" i="16"/>
  <c r="AI127" i="17"/>
  <c r="AI128" i="17" s="1"/>
  <c r="Z27" i="16"/>
  <c r="Z28" i="16" s="1"/>
  <c r="AH47" i="16"/>
  <c r="AH48" i="16" s="1"/>
  <c r="AA107" i="16"/>
  <c r="AA106" i="16"/>
  <c r="AA179" i="16"/>
  <c r="AA180" i="16"/>
  <c r="X25" i="17"/>
  <c r="X26" i="17" s="1"/>
  <c r="U11" i="16"/>
  <c r="U12" i="16"/>
  <c r="AE34" i="16"/>
  <c r="AE33" i="16"/>
  <c r="U299" i="16"/>
  <c r="U300" i="16" s="1"/>
  <c r="AG112" i="16"/>
  <c r="AG113" i="16" s="1"/>
  <c r="V19" i="16"/>
  <c r="V20" i="16"/>
  <c r="AC110" i="16"/>
  <c r="AC111" i="16" s="1"/>
  <c r="Z238" i="16"/>
  <c r="Z239" i="16"/>
  <c r="AD325" i="16"/>
  <c r="AD326" i="16" s="1"/>
  <c r="AA250" i="16"/>
  <c r="AA251" i="16"/>
  <c r="W15" i="17"/>
  <c r="W16" i="17" s="1"/>
  <c r="N82" i="16"/>
  <c r="N83" i="16"/>
  <c r="N141" i="16" s="1"/>
  <c r="M141" i="16"/>
  <c r="V96" i="17"/>
  <c r="V95" i="17"/>
  <c r="AF104" i="16"/>
  <c r="AF105" i="16" s="1"/>
  <c r="X172" i="16"/>
  <c r="X171" i="16"/>
  <c r="Y98" i="16"/>
  <c r="Y99" i="16" s="1"/>
  <c r="Z24" i="16"/>
  <c r="Z23" i="16"/>
  <c r="AF118" i="16"/>
  <c r="AF119" i="16"/>
  <c r="O5" i="16"/>
  <c r="Q226" i="16"/>
  <c r="Q227" i="16" s="1"/>
  <c r="I361" i="16"/>
  <c r="G14" i="7" s="1"/>
  <c r="G16" i="7" s="1"/>
  <c r="T93" i="17"/>
  <c r="T94" i="17" s="1"/>
  <c r="U84" i="16"/>
  <c r="U85" i="16" s="1"/>
  <c r="E22" i="34"/>
  <c r="E15" i="34"/>
  <c r="E17" i="34"/>
  <c r="H37" i="2"/>
  <c r="B15" i="34"/>
  <c r="B22" i="34"/>
  <c r="B17" i="34"/>
  <c r="E37" i="2"/>
  <c r="AB103" i="17"/>
  <c r="AB104" i="17"/>
  <c r="F15" i="34"/>
  <c r="I37" i="2"/>
  <c r="F17" i="34"/>
  <c r="F22" i="34"/>
  <c r="AE15" i="10"/>
  <c r="AD24" i="10"/>
  <c r="AD25" i="10" s="1"/>
  <c r="AG102" i="16"/>
  <c r="AG103" i="16"/>
  <c r="N293" i="16"/>
  <c r="N294" i="16"/>
  <c r="O81" i="17"/>
  <c r="O82" i="17"/>
  <c r="AG115" i="17"/>
  <c r="AG116" i="17"/>
  <c r="N151" i="16"/>
  <c r="N152" i="16" s="1"/>
  <c r="P13" i="16"/>
  <c r="P14" i="16" s="1"/>
  <c r="W5" i="2"/>
  <c r="AI265" i="16"/>
  <c r="AI264" i="16"/>
  <c r="AC108" i="16"/>
  <c r="AC109" i="16" s="1"/>
  <c r="L79" i="17"/>
  <c r="L141" i="17" s="1"/>
  <c r="K142" i="17"/>
  <c r="N54" i="10"/>
  <c r="AE248" i="16"/>
  <c r="AE249" i="16"/>
  <c r="T83" i="17"/>
  <c r="T84" i="17"/>
  <c r="AH331" i="16"/>
  <c r="AH332" i="16" s="1"/>
  <c r="U21" i="16"/>
  <c r="U22" i="16" s="1"/>
  <c r="K7" i="16"/>
  <c r="K69" i="16" s="1"/>
  <c r="K8" i="16"/>
  <c r="J70" i="16"/>
  <c r="G21" i="8"/>
  <c r="G32" i="8"/>
  <c r="G30" i="8" s="1"/>
  <c r="G6" i="8" s="1"/>
  <c r="G8" i="8" s="1"/>
  <c r="V23" i="17"/>
  <c r="V24" i="17" s="1"/>
  <c r="O224" i="16"/>
  <c r="O225" i="16"/>
  <c r="Z246" i="16"/>
  <c r="Z247" i="16"/>
  <c r="AB252" i="16"/>
  <c r="AB253" i="16" s="1"/>
  <c r="L72" i="16"/>
  <c r="K363" i="16"/>
  <c r="F8" i="8"/>
  <c r="D22" i="34"/>
  <c r="D15" i="34"/>
  <c r="G37" i="2"/>
  <c r="D17" i="34"/>
  <c r="H36" i="7"/>
  <c r="AB109" i="17"/>
  <c r="AB110" i="17" s="1"/>
  <c r="AD29" i="16"/>
  <c r="AD30" i="16" s="1"/>
  <c r="AD31" i="16"/>
  <c r="AD32" i="16" s="1"/>
  <c r="Z241" i="16"/>
  <c r="Z240" i="16"/>
  <c r="AD31" i="29"/>
  <c r="AD32" i="29" s="1"/>
  <c r="AE15" i="9"/>
  <c r="AC18" i="34"/>
  <c r="R230" i="16"/>
  <c r="R231" i="16"/>
  <c r="S161" i="16"/>
  <c r="S162" i="16" s="1"/>
  <c r="E60" i="10"/>
  <c r="E13" i="10"/>
  <c r="V144" i="17"/>
  <c r="U150" i="17"/>
  <c r="AF187" i="16"/>
  <c r="AF188" i="16"/>
  <c r="S91" i="17"/>
  <c r="S92" i="17" s="1"/>
  <c r="AE113" i="17"/>
  <c r="AE114" i="17" s="1"/>
  <c r="X29" i="17"/>
  <c r="X30" i="17" s="1"/>
  <c r="V220" i="16"/>
  <c r="V221" i="16"/>
  <c r="AE43" i="17"/>
  <c r="AE44" i="17"/>
  <c r="V92" i="16"/>
  <c r="V93" i="16" s="1"/>
  <c r="AC309" i="16"/>
  <c r="AC310" i="16"/>
  <c r="Z244" i="16"/>
  <c r="Z245" i="16"/>
  <c r="K218" i="16"/>
  <c r="K282" i="16" s="1"/>
  <c r="K219" i="16"/>
  <c r="J283" i="16"/>
  <c r="Z175" i="16"/>
  <c r="Z176" i="16" s="1"/>
  <c r="X10" i="2"/>
  <c r="X6" i="2"/>
  <c r="X5" i="2" s="1"/>
  <c r="X13" i="2"/>
  <c r="W10" i="9"/>
  <c r="X11" i="2"/>
  <c r="X16" i="2"/>
  <c r="V8" i="15" s="1"/>
  <c r="V3" i="15" s="1"/>
  <c r="X14" i="2"/>
  <c r="X7" i="2"/>
  <c r="X15" i="2"/>
  <c r="X24" i="2"/>
  <c r="X20" i="2"/>
  <c r="X12" i="2"/>
  <c r="AE29" i="10"/>
  <c r="AD38" i="10"/>
  <c r="AD39" i="10" s="1"/>
  <c r="T43" i="29"/>
  <c r="T13" i="15"/>
  <c r="T12" i="15" s="1"/>
  <c r="T15" i="15" s="1"/>
  <c r="T8" i="7"/>
  <c r="T22" i="8" s="1"/>
  <c r="V18" i="2"/>
  <c r="W35" i="2"/>
  <c r="U10" i="8"/>
  <c r="U78" i="16"/>
  <c r="U79" i="16"/>
  <c r="J148" i="16"/>
  <c r="AG189" i="16"/>
  <c r="AG190" i="16" s="1"/>
  <c r="W237" i="16"/>
  <c r="W236" i="16"/>
  <c r="Z100" i="16"/>
  <c r="Z101" i="16" s="1"/>
  <c r="T165" i="16"/>
  <c r="T166" i="16" s="1"/>
  <c r="W87" i="17"/>
  <c r="W88" i="17" s="1"/>
  <c r="M40" i="10"/>
  <c r="AF258" i="16"/>
  <c r="AF259" i="16"/>
  <c r="AD321" i="16"/>
  <c r="AD322" i="16"/>
  <c r="AE255" i="16"/>
  <c r="AE254" i="16"/>
  <c r="AA35" i="16"/>
  <c r="AA36" i="16"/>
  <c r="O149" i="16"/>
  <c r="O150" i="16"/>
  <c r="N6" i="17"/>
  <c r="V1" i="10"/>
  <c r="U10" i="10"/>
  <c r="U24" i="7"/>
  <c r="U27" i="8" s="1"/>
  <c r="U36" i="8" s="1"/>
  <c r="W9" i="2"/>
  <c r="AF111" i="17"/>
  <c r="AF112" i="17" s="1"/>
  <c r="AD37" i="17"/>
  <c r="AD38" i="17" s="1"/>
  <c r="Y96" i="16"/>
  <c r="Y97" i="16"/>
  <c r="O222" i="16"/>
  <c r="O223" i="16"/>
  <c r="O80" i="16"/>
  <c r="O81" i="16" s="1"/>
  <c r="K290" i="16"/>
  <c r="K289" i="16"/>
  <c r="K353" i="16" s="1"/>
  <c r="J354" i="16"/>
  <c r="K147" i="17"/>
  <c r="T14" i="8"/>
  <c r="T47" i="8"/>
  <c r="J360" i="16"/>
  <c r="J19" i="2" s="1"/>
  <c r="J23" i="2" s="1"/>
  <c r="I16" i="15"/>
  <c r="I19" i="15" s="1"/>
  <c r="H9" i="7"/>
  <c r="H23" i="8" s="1"/>
  <c r="O78" i="17"/>
  <c r="F37" i="2"/>
  <c r="C22" i="34"/>
  <c r="C15" i="34"/>
  <c r="C17" i="34"/>
  <c r="T11" i="10"/>
  <c r="T60" i="10" s="1"/>
  <c r="T59" i="10"/>
  <c r="R31" i="8"/>
  <c r="AA107" i="17"/>
  <c r="AA108" i="17" s="1"/>
  <c r="W25" i="16"/>
  <c r="W26" i="16" s="1"/>
  <c r="L7" i="17"/>
  <c r="L69" i="17" s="1"/>
  <c r="L147" i="17" s="1"/>
  <c r="K70" i="17"/>
  <c r="K148" i="17" s="1"/>
  <c r="I13" i="7" s="1"/>
  <c r="N140" i="16"/>
  <c r="W159" i="16"/>
  <c r="W160" i="16" s="1"/>
  <c r="V301" i="16"/>
  <c r="V302" i="16"/>
  <c r="W97" i="17"/>
  <c r="W98" i="17"/>
  <c r="Q9" i="16"/>
  <c r="Q10" i="16"/>
  <c r="AF39" i="16"/>
  <c r="AF40" i="16"/>
  <c r="Y21" i="17"/>
  <c r="Y22" i="17"/>
  <c r="S228" i="16"/>
  <c r="S229" i="16"/>
  <c r="Z31" i="17"/>
  <c r="Z32" i="17" s="1"/>
  <c r="Z99" i="17"/>
  <c r="Z100" i="17"/>
  <c r="AB317" i="16"/>
  <c r="AB318" i="16" s="1"/>
  <c r="Q88" i="16"/>
  <c r="Q89" i="16" s="1"/>
  <c r="Q157" i="16"/>
  <c r="Q158" i="16"/>
  <c r="U307" i="16"/>
  <c r="U308" i="16"/>
  <c r="AD110" i="16" l="1"/>
  <c r="AD111" i="16" s="1"/>
  <c r="T161" i="16"/>
  <c r="T162" i="16" s="1"/>
  <c r="AE29" i="16"/>
  <c r="AE30" i="16"/>
  <c r="AA31" i="17"/>
  <c r="AA32" i="17"/>
  <c r="U93" i="17"/>
  <c r="U94" i="17"/>
  <c r="Z98" i="16"/>
  <c r="Z99" i="16"/>
  <c r="Y25" i="17"/>
  <c r="Y26" i="17" s="1"/>
  <c r="AG45" i="17"/>
  <c r="AG46" i="17" s="1"/>
  <c r="AF113" i="17"/>
  <c r="AF114" i="17" s="1"/>
  <c r="T91" i="17"/>
  <c r="T92" i="17"/>
  <c r="X87" i="17"/>
  <c r="X88" i="17" s="1"/>
  <c r="V84" i="16"/>
  <c r="V85" i="16"/>
  <c r="R88" i="16"/>
  <c r="R89" i="16" s="1"/>
  <c r="P80" i="16"/>
  <c r="P81" i="16"/>
  <c r="U165" i="16"/>
  <c r="U166" i="16" s="1"/>
  <c r="V21" i="16"/>
  <c r="V22" i="16" s="1"/>
  <c r="AC317" i="16"/>
  <c r="AC318" i="16"/>
  <c r="X159" i="16"/>
  <c r="X160" i="16"/>
  <c r="AA100" i="16"/>
  <c r="AA101" i="16"/>
  <c r="Y29" i="17"/>
  <c r="Y30" i="17"/>
  <c r="AI331" i="16"/>
  <c r="AI332" i="16"/>
  <c r="AD108" i="16"/>
  <c r="AD109" i="16"/>
  <c r="X15" i="17"/>
  <c r="X16" i="17"/>
  <c r="P295" i="16"/>
  <c r="P296" i="16" s="1"/>
  <c r="AE31" i="16"/>
  <c r="AE32" i="16"/>
  <c r="W23" i="17"/>
  <c r="W24" i="17"/>
  <c r="R226" i="16"/>
  <c r="R227" i="16"/>
  <c r="AH112" i="16"/>
  <c r="AH113" i="16"/>
  <c r="AF183" i="16"/>
  <c r="AF184" i="16" s="1"/>
  <c r="AG104" i="16"/>
  <c r="AG105" i="16" s="1"/>
  <c r="V299" i="16"/>
  <c r="V300" i="16"/>
  <c r="V235" i="16"/>
  <c r="V234" i="16"/>
  <c r="Y27" i="17"/>
  <c r="Y28" i="17"/>
  <c r="R153" i="16"/>
  <c r="R154" i="16" s="1"/>
  <c r="AA33" i="17"/>
  <c r="AA34" i="17" s="1"/>
  <c r="T17" i="16"/>
  <c r="T18" i="16" s="1"/>
  <c r="AH189" i="16"/>
  <c r="AH190" i="16" s="1"/>
  <c r="AA175" i="16"/>
  <c r="AA176" i="16" s="1"/>
  <c r="W92" i="16"/>
  <c r="W93" i="16" s="1"/>
  <c r="AC109" i="17"/>
  <c r="AC110" i="17" s="1"/>
  <c r="AA105" i="17"/>
  <c r="AA106" i="17"/>
  <c r="R12" i="17"/>
  <c r="R11" i="17"/>
  <c r="AA319" i="16"/>
  <c r="AA320" i="16" s="1"/>
  <c r="AE325" i="16"/>
  <c r="AE326" i="16" s="1"/>
  <c r="AI39" i="17"/>
  <c r="AI40" i="17" s="1"/>
  <c r="AE37" i="17"/>
  <c r="AE38" i="17" s="1"/>
  <c r="AC252" i="16"/>
  <c r="AC253" i="16" s="1"/>
  <c r="Q13" i="16"/>
  <c r="Q14" i="16" s="1"/>
  <c r="AI47" i="16"/>
  <c r="AI48" i="16"/>
  <c r="R87" i="16"/>
  <c r="R86" i="16"/>
  <c r="W167" i="16"/>
  <c r="W168" i="16" s="1"/>
  <c r="X26" i="16"/>
  <c r="X25" i="16"/>
  <c r="AB107" i="17"/>
  <c r="AB108" i="17"/>
  <c r="AG111" i="17"/>
  <c r="AG112" i="17" s="1"/>
  <c r="O151" i="16"/>
  <c r="O152" i="16"/>
  <c r="AA28" i="16"/>
  <c r="AA27" i="16"/>
  <c r="AE256" i="16"/>
  <c r="AE257" i="16" s="1"/>
  <c r="Z174" i="16"/>
  <c r="Z173" i="16"/>
  <c r="AH41" i="16"/>
  <c r="AH42" i="16" s="1"/>
  <c r="M21" i="2"/>
  <c r="K29" i="7" s="1"/>
  <c r="U19" i="17"/>
  <c r="U20" i="17" s="1"/>
  <c r="G15" i="34"/>
  <c r="G22" i="34"/>
  <c r="J37" i="2"/>
  <c r="L289" i="16"/>
  <c r="L353" i="16" s="1"/>
  <c r="K354" i="16"/>
  <c r="AB35" i="16"/>
  <c r="AB36" i="16"/>
  <c r="AF29" i="10"/>
  <c r="AE38" i="10"/>
  <c r="AE39" i="10" s="1"/>
  <c r="F12" i="10"/>
  <c r="E62" i="10"/>
  <c r="F28" i="7" s="1"/>
  <c r="AD18" i="34"/>
  <c r="AF15" i="9"/>
  <c r="AE31" i="29"/>
  <c r="AE32" i="29" s="1"/>
  <c r="P82" i="17"/>
  <c r="P81" i="17"/>
  <c r="Y172" i="16"/>
  <c r="Y171" i="16"/>
  <c r="U305" i="16"/>
  <c r="U306" i="16"/>
  <c r="S89" i="17"/>
  <c r="S90" i="17" s="1"/>
  <c r="W15" i="16"/>
  <c r="W16" i="16"/>
  <c r="AI51" i="16"/>
  <c r="AI52" i="16" s="1"/>
  <c r="AI116" i="16"/>
  <c r="AI117" i="16"/>
  <c r="AD177" i="16"/>
  <c r="AD178" i="16" s="1"/>
  <c r="R291" i="16"/>
  <c r="R292" i="16"/>
  <c r="R157" i="16"/>
  <c r="R158" i="16" s="1"/>
  <c r="R9" i="16"/>
  <c r="R10" i="16"/>
  <c r="L80" i="17"/>
  <c r="AG118" i="16"/>
  <c r="AG119" i="16" s="1"/>
  <c r="AF33" i="16"/>
  <c r="AF34" i="16"/>
  <c r="AB106" i="16"/>
  <c r="AB107" i="16" s="1"/>
  <c r="AD181" i="16"/>
  <c r="AD182" i="16"/>
  <c r="M61" i="10"/>
  <c r="M39" i="10"/>
  <c r="X236" i="16"/>
  <c r="X237" i="16" s="1"/>
  <c r="Y6" i="2"/>
  <c r="Y5" i="2" s="1"/>
  <c r="Y10" i="2"/>
  <c r="Y13" i="2"/>
  <c r="Y15" i="2"/>
  <c r="Y7" i="2"/>
  <c r="Y24" i="2"/>
  <c r="X10" i="9"/>
  <c r="Y16" i="2"/>
  <c r="W8" i="15" s="1"/>
  <c r="W3" i="15" s="1"/>
  <c r="Y11" i="2"/>
  <c r="Y14" i="2"/>
  <c r="Y12" i="2"/>
  <c r="Y20" i="2"/>
  <c r="L218" i="16"/>
  <c r="L282" i="16" s="1"/>
  <c r="L219" i="16"/>
  <c r="K283" i="16"/>
  <c r="F47" i="8"/>
  <c r="F14" i="8"/>
  <c r="T228" i="16"/>
  <c r="T229" i="16" s="1"/>
  <c r="AF43" i="17"/>
  <c r="AF44" i="17" s="1"/>
  <c r="AA246" i="16"/>
  <c r="AA247" i="16" s="1"/>
  <c r="U83" i="17"/>
  <c r="U84" i="17" s="1"/>
  <c r="O293" i="16"/>
  <c r="O294" i="16"/>
  <c r="AB250" i="16"/>
  <c r="AB251" i="16"/>
  <c r="W19" i="16"/>
  <c r="W20" i="16" s="1"/>
  <c r="V11" i="16"/>
  <c r="V12" i="16" s="1"/>
  <c r="AA313" i="16"/>
  <c r="AA314" i="16" s="1"/>
  <c r="U90" i="16"/>
  <c r="U91" i="16" s="1"/>
  <c r="AA101" i="17"/>
  <c r="AA102" i="17" s="1"/>
  <c r="Q297" i="16"/>
  <c r="Q298" i="16" s="1"/>
  <c r="AA315" i="16"/>
  <c r="AA316" i="16" s="1"/>
  <c r="Z96" i="16"/>
  <c r="Z97" i="16"/>
  <c r="X97" i="17"/>
  <c r="X98" i="17" s="1"/>
  <c r="L8" i="17"/>
  <c r="U11" i="10"/>
  <c r="U60" i="10" s="1"/>
  <c r="U59" i="10"/>
  <c r="AF254" i="16"/>
  <c r="AF255" i="16"/>
  <c r="T5" i="8"/>
  <c r="V10" i="8"/>
  <c r="X35" i="2"/>
  <c r="V43" i="29"/>
  <c r="V13" i="15"/>
  <c r="V12" i="15" s="1"/>
  <c r="V8" i="7" s="1"/>
  <c r="V22" i="8" s="1"/>
  <c r="J361" i="16"/>
  <c r="H14" i="7" s="1"/>
  <c r="H16" i="7" s="1"/>
  <c r="G17" i="34" s="1"/>
  <c r="R155" i="16"/>
  <c r="R156" i="16" s="1"/>
  <c r="W1" i="10"/>
  <c r="V10" i="10"/>
  <c r="AE321" i="16"/>
  <c r="AE322" i="16" s="1"/>
  <c r="T31" i="8"/>
  <c r="V24" i="7"/>
  <c r="V27" i="8" s="1"/>
  <c r="V36" i="8" s="1"/>
  <c r="X9" i="2"/>
  <c r="X18" i="2" s="1"/>
  <c r="AA245" i="16"/>
  <c r="AA244" i="16"/>
  <c r="W220" i="16"/>
  <c r="W221" i="16"/>
  <c r="AG188" i="16"/>
  <c r="AG187" i="16"/>
  <c r="S230" i="16"/>
  <c r="S231" i="16" s="1"/>
  <c r="AA240" i="16"/>
  <c r="AA241" i="16" s="1"/>
  <c r="P224" i="16"/>
  <c r="P225" i="16" s="1"/>
  <c r="L7" i="16"/>
  <c r="L69" i="16" s="1"/>
  <c r="K70" i="16"/>
  <c r="AF249" i="16"/>
  <c r="AF248" i="16"/>
  <c r="AA24" i="16"/>
  <c r="AA23" i="16"/>
  <c r="W95" i="17"/>
  <c r="W96" i="17" s="1"/>
  <c r="Q13" i="17"/>
  <c r="Q14" i="17" s="1"/>
  <c r="AA94" i="16"/>
  <c r="AA95" i="16" s="1"/>
  <c r="AH102" i="16"/>
  <c r="AH103" i="16" s="1"/>
  <c r="H32" i="8"/>
  <c r="H30" i="8" s="1"/>
  <c r="H6" i="8" s="1"/>
  <c r="H8" i="8" s="1"/>
  <c r="O5" i="17"/>
  <c r="K147" i="16"/>
  <c r="K211" i="16" s="1"/>
  <c r="K360" i="16" s="1"/>
  <c r="K19" i="2" s="1"/>
  <c r="K23" i="2" s="1"/>
  <c r="J212" i="16"/>
  <c r="T17" i="15"/>
  <c r="T18" i="15"/>
  <c r="AE185" i="16"/>
  <c r="AE186" i="16" s="1"/>
  <c r="AH329" i="16"/>
  <c r="AH330" i="16"/>
  <c r="L26" i="10"/>
  <c r="Z21" i="17"/>
  <c r="Z22" i="17"/>
  <c r="W301" i="16"/>
  <c r="W302" i="16" s="1"/>
  <c r="U47" i="8"/>
  <c r="U14" i="8"/>
  <c r="P77" i="17"/>
  <c r="P78" i="17"/>
  <c r="V308" i="16"/>
  <c r="V307" i="16"/>
  <c r="AA99" i="17"/>
  <c r="AA100" i="17"/>
  <c r="AG39" i="16"/>
  <c r="AG40" i="16" s="1"/>
  <c r="J16" i="15"/>
  <c r="J19" i="15" s="1"/>
  <c r="I9" i="7"/>
  <c r="I23" i="8" s="1"/>
  <c r="P222" i="16"/>
  <c r="P223" i="16" s="1"/>
  <c r="AD309" i="16"/>
  <c r="AD310" i="16"/>
  <c r="I36" i="7"/>
  <c r="AH115" i="17"/>
  <c r="AH116" i="17" s="1"/>
  <c r="AC103" i="17"/>
  <c r="AC104" i="17" s="1"/>
  <c r="O82" i="16"/>
  <c r="O83" i="16" s="1"/>
  <c r="AA238" i="16"/>
  <c r="AA239" i="16" s="1"/>
  <c r="AB179" i="16"/>
  <c r="AB180" i="16"/>
  <c r="W163" i="16"/>
  <c r="W164" i="16"/>
  <c r="S9" i="17"/>
  <c r="S10" i="17"/>
  <c r="AB312" i="16"/>
  <c r="AB311" i="16"/>
  <c r="AA169" i="16"/>
  <c r="AA170" i="16"/>
  <c r="AC35" i="17"/>
  <c r="AC36" i="17"/>
  <c r="Z242" i="16"/>
  <c r="Z243" i="16"/>
  <c r="AB232" i="16"/>
  <c r="AB233" i="16" s="1"/>
  <c r="T85" i="17"/>
  <c r="T86" i="17"/>
  <c r="Z303" i="16"/>
  <c r="Z304" i="16" s="1"/>
  <c r="T17" i="17"/>
  <c r="T18" i="17"/>
  <c r="P149" i="16"/>
  <c r="P150" i="16"/>
  <c r="AG258" i="16"/>
  <c r="AG259" i="16" s="1"/>
  <c r="V78" i="16"/>
  <c r="V79" i="16" s="1"/>
  <c r="V15" i="15"/>
  <c r="W144" i="17"/>
  <c r="V150" i="17"/>
  <c r="M72" i="16"/>
  <c r="L363" i="16"/>
  <c r="N61" i="10"/>
  <c r="N53" i="10"/>
  <c r="U13" i="15"/>
  <c r="U12" i="15" s="1"/>
  <c r="U15" i="15" s="1"/>
  <c r="U43" i="29"/>
  <c r="W18" i="2"/>
  <c r="AE24" i="10"/>
  <c r="AE25" i="10" s="1"/>
  <c r="AF15" i="10"/>
  <c r="O6" i="16"/>
  <c r="O77" i="16"/>
  <c r="Y97" i="17" l="1"/>
  <c r="Y98" i="17"/>
  <c r="W11" i="16"/>
  <c r="W12" i="16" s="1"/>
  <c r="AC106" i="16"/>
  <c r="AC107" i="16" s="1"/>
  <c r="T90" i="17"/>
  <c r="T89" i="17"/>
  <c r="AB33" i="17"/>
  <c r="AB34" i="17"/>
  <c r="AH104" i="16"/>
  <c r="AH105" i="16" s="1"/>
  <c r="Y87" i="17"/>
  <c r="Y88" i="17"/>
  <c r="AA303" i="16"/>
  <c r="AA304" i="16" s="1"/>
  <c r="AF321" i="16"/>
  <c r="AF322" i="16"/>
  <c r="X19" i="16"/>
  <c r="X20" i="16" s="1"/>
  <c r="U228" i="16"/>
  <c r="U229" i="16"/>
  <c r="R13" i="16"/>
  <c r="R14" i="16" s="1"/>
  <c r="S153" i="16"/>
  <c r="S154" i="16"/>
  <c r="AG183" i="16"/>
  <c r="AG184" i="16" s="1"/>
  <c r="W21" i="16"/>
  <c r="W22" i="16"/>
  <c r="Q223" i="16"/>
  <c r="Q222" i="16"/>
  <c r="AE177" i="16"/>
  <c r="AE178" i="16" s="1"/>
  <c r="AF256" i="16"/>
  <c r="AF257" i="16" s="1"/>
  <c r="AD252" i="16"/>
  <c r="AD253" i="16" s="1"/>
  <c r="Q295" i="16"/>
  <c r="Q296" i="16" s="1"/>
  <c r="V165" i="16"/>
  <c r="V166" i="16"/>
  <c r="W78" i="16"/>
  <c r="W79" i="16" s="1"/>
  <c r="AH118" i="16"/>
  <c r="AH119" i="16" s="1"/>
  <c r="AF37" i="17"/>
  <c r="AF38" i="17" s="1"/>
  <c r="AD109" i="17"/>
  <c r="AD110" i="17" s="1"/>
  <c r="AG113" i="17"/>
  <c r="AG114" i="17"/>
  <c r="X167" i="16"/>
  <c r="X168" i="16"/>
  <c r="X92" i="16"/>
  <c r="X93" i="16" s="1"/>
  <c r="AH45" i="17"/>
  <c r="AH46" i="17" s="1"/>
  <c r="V19" i="17"/>
  <c r="V20" i="17" s="1"/>
  <c r="AF325" i="16"/>
  <c r="AF326" i="16"/>
  <c r="S89" i="16"/>
  <c r="S88" i="16"/>
  <c r="Z25" i="17"/>
  <c r="Z26" i="17"/>
  <c r="AB240" i="16"/>
  <c r="AB241" i="16" s="1"/>
  <c r="V5" i="8"/>
  <c r="V90" i="16"/>
  <c r="V91" i="16" s="1"/>
  <c r="V83" i="17"/>
  <c r="V84" i="17"/>
  <c r="N21" i="2"/>
  <c r="L29" i="7" s="1"/>
  <c r="AB319" i="16"/>
  <c r="AB320" i="16" s="1"/>
  <c r="AI189" i="16"/>
  <c r="AI190" i="16"/>
  <c r="U161" i="16"/>
  <c r="U162" i="16"/>
  <c r="H22" i="34"/>
  <c r="K37" i="2"/>
  <c r="H15" i="34"/>
  <c r="AG43" i="17"/>
  <c r="AG44" i="17"/>
  <c r="AB238" i="16"/>
  <c r="AB239" i="16"/>
  <c r="AI103" i="16"/>
  <c r="AI102" i="16"/>
  <c r="AB315" i="16"/>
  <c r="AB316" i="16"/>
  <c r="Y236" i="16"/>
  <c r="Y237" i="16"/>
  <c r="AH258" i="16"/>
  <c r="AH259" i="16"/>
  <c r="AC232" i="16"/>
  <c r="AC233" i="16" s="1"/>
  <c r="P82" i="16"/>
  <c r="P83" i="16"/>
  <c r="AF185" i="16"/>
  <c r="AF186" i="16" s="1"/>
  <c r="AB94" i="16"/>
  <c r="AB95" i="16"/>
  <c r="S155" i="16"/>
  <c r="S156" i="16" s="1"/>
  <c r="R297" i="16"/>
  <c r="R298" i="16" s="1"/>
  <c r="AD103" i="17"/>
  <c r="AD104" i="17" s="1"/>
  <c r="AH39" i="16"/>
  <c r="AH40" i="16" s="1"/>
  <c r="R14" i="17"/>
  <c r="R13" i="17"/>
  <c r="Q224" i="16"/>
  <c r="Q225" i="16" s="1"/>
  <c r="AB101" i="17"/>
  <c r="AB102" i="17" s="1"/>
  <c r="AB175" i="16"/>
  <c r="AB176" i="16" s="1"/>
  <c r="AI115" i="17"/>
  <c r="AI116" i="17" s="1"/>
  <c r="X301" i="16"/>
  <c r="X302" i="16"/>
  <c r="X96" i="17"/>
  <c r="X95" i="17"/>
  <c r="T230" i="16"/>
  <c r="T231" i="16"/>
  <c r="AB313" i="16"/>
  <c r="AB314" i="16" s="1"/>
  <c r="AB246" i="16"/>
  <c r="AB247" i="16"/>
  <c r="S157" i="16"/>
  <c r="S158" i="16" s="1"/>
  <c r="AI41" i="16"/>
  <c r="AI42" i="16"/>
  <c r="AH111" i="17"/>
  <c r="AH112" i="17" s="1"/>
  <c r="U17" i="16"/>
  <c r="U18" i="16"/>
  <c r="AE111" i="16"/>
  <c r="AE110" i="16"/>
  <c r="AG15" i="10"/>
  <c r="AF24" i="10"/>
  <c r="AF25" i="10" s="1"/>
  <c r="U85" i="17"/>
  <c r="U86" i="17" s="1"/>
  <c r="AB169" i="16"/>
  <c r="AB170" i="16"/>
  <c r="AC180" i="16"/>
  <c r="AC179" i="16"/>
  <c r="J36" i="7"/>
  <c r="AH187" i="16"/>
  <c r="AH188" i="16" s="1"/>
  <c r="O140" i="16"/>
  <c r="Q81" i="17"/>
  <c r="Q82" i="17"/>
  <c r="AB27" i="16"/>
  <c r="AB28" i="16" s="1"/>
  <c r="Y25" i="16"/>
  <c r="Y26" i="16"/>
  <c r="W234" i="16"/>
  <c r="W235" i="16" s="1"/>
  <c r="AI112" i="16"/>
  <c r="AI113" i="16"/>
  <c r="Z29" i="17"/>
  <c r="Z30" i="17" s="1"/>
  <c r="W84" i="16"/>
  <c r="W85" i="16" s="1"/>
  <c r="AB31" i="17"/>
  <c r="AB32" i="17" s="1"/>
  <c r="AG248" i="16"/>
  <c r="AG249" i="16"/>
  <c r="Z7" i="2"/>
  <c r="Z15" i="2"/>
  <c r="Z10" i="2"/>
  <c r="Y10" i="9"/>
  <c r="Z24" i="2"/>
  <c r="Z11" i="2"/>
  <c r="Z16" i="2"/>
  <c r="X8" i="15" s="1"/>
  <c r="X3" i="15" s="1"/>
  <c r="Z14" i="2"/>
  <c r="Z6" i="2"/>
  <c r="Z13" i="2"/>
  <c r="Z12" i="2"/>
  <c r="Z20" i="2"/>
  <c r="AG33" i="16"/>
  <c r="AG34" i="16" s="1"/>
  <c r="N72" i="16"/>
  <c r="M363" i="16"/>
  <c r="Q150" i="16"/>
  <c r="Q149" i="16"/>
  <c r="W150" i="17"/>
  <c r="X144" i="17"/>
  <c r="AC311" i="16"/>
  <c r="AC312" i="16" s="1"/>
  <c r="U18" i="15"/>
  <c r="U17" i="15"/>
  <c r="U17" i="17"/>
  <c r="U18" i="17" s="1"/>
  <c r="AA242" i="16"/>
  <c r="AA243" i="16" s="1"/>
  <c r="T9" i="17"/>
  <c r="T10" i="17" s="1"/>
  <c r="AE309" i="16"/>
  <c r="AE310" i="16" s="1"/>
  <c r="AB99" i="17"/>
  <c r="AB100" i="17" s="1"/>
  <c r="AG254" i="16"/>
  <c r="AG255" i="16"/>
  <c r="AA96" i="16"/>
  <c r="AA97" i="16" s="1"/>
  <c r="AC250" i="16"/>
  <c r="AC251" i="16"/>
  <c r="AE181" i="16"/>
  <c r="AE182" i="16"/>
  <c r="M79" i="17"/>
  <c r="M141" i="17" s="1"/>
  <c r="M80" i="17"/>
  <c r="L142" i="17"/>
  <c r="AG29" i="10"/>
  <c r="AF38" i="10"/>
  <c r="AF39" i="10" s="1"/>
  <c r="P152" i="16"/>
  <c r="P151" i="16"/>
  <c r="W299" i="16"/>
  <c r="W300" i="16"/>
  <c r="I32" i="8"/>
  <c r="I21" i="8"/>
  <c r="Q77" i="17"/>
  <c r="P293" i="16"/>
  <c r="P294" i="16" s="1"/>
  <c r="Z171" i="16"/>
  <c r="Z172" i="16" s="1"/>
  <c r="J9" i="7"/>
  <c r="J23" i="8" s="1"/>
  <c r="K16" i="15"/>
  <c r="K19" i="15" s="1"/>
  <c r="AI329" i="16"/>
  <c r="AI330" i="16"/>
  <c r="V18" i="15"/>
  <c r="V17" i="15"/>
  <c r="X220" i="16"/>
  <c r="X221" i="16" s="1"/>
  <c r="U8" i="7"/>
  <c r="U22" i="8" s="1"/>
  <c r="V31" i="8" s="1"/>
  <c r="W24" i="7"/>
  <c r="W27" i="8" s="1"/>
  <c r="W36" i="8" s="1"/>
  <c r="Y9" i="2"/>
  <c r="S9" i="16"/>
  <c r="S10" i="16"/>
  <c r="V305" i="16"/>
  <c r="V306" i="16"/>
  <c r="AC35" i="16"/>
  <c r="AC36" i="16"/>
  <c r="S226" i="16"/>
  <c r="S227" i="16" s="1"/>
  <c r="Y15" i="17"/>
  <c r="Y16" i="17"/>
  <c r="AB100" i="16"/>
  <c r="AB101" i="16"/>
  <c r="AF29" i="16"/>
  <c r="AF30" i="16"/>
  <c r="X163" i="16"/>
  <c r="X164" i="16" s="1"/>
  <c r="K148" i="16"/>
  <c r="AB23" i="16"/>
  <c r="AB24" i="16"/>
  <c r="V11" i="10"/>
  <c r="V60" i="10" s="1"/>
  <c r="V59" i="10"/>
  <c r="W8" i="7"/>
  <c r="W22" i="8" s="1"/>
  <c r="W43" i="29"/>
  <c r="W13" i="15"/>
  <c r="W12" i="15" s="1"/>
  <c r="Y18" i="2"/>
  <c r="AG15" i="9"/>
  <c r="AE18" i="34"/>
  <c r="AF31" i="29"/>
  <c r="AF32" i="29" s="1"/>
  <c r="P76" i="16"/>
  <c r="P140" i="16" s="1"/>
  <c r="P77" i="16"/>
  <c r="O141" i="16"/>
  <c r="N60" i="10"/>
  <c r="N55" i="10"/>
  <c r="O55" i="10" s="1"/>
  <c r="P55" i="10" s="1"/>
  <c r="Q55" i="10" s="1"/>
  <c r="R55" i="10" s="1"/>
  <c r="S55" i="10" s="1"/>
  <c r="T55" i="10" s="1"/>
  <c r="U55" i="10" s="1"/>
  <c r="V55" i="10" s="1"/>
  <c r="W55" i="10" s="1"/>
  <c r="X55" i="10" s="1"/>
  <c r="Y55" i="10" s="1"/>
  <c r="Z55" i="10" s="1"/>
  <c r="AA55" i="10" s="1"/>
  <c r="AB55" i="10" s="1"/>
  <c r="AC55" i="10" s="1"/>
  <c r="AD55" i="10" s="1"/>
  <c r="AE55" i="10" s="1"/>
  <c r="AF55" i="10" s="1"/>
  <c r="AG55" i="10" s="1"/>
  <c r="AH55" i="10" s="1"/>
  <c r="AI55" i="10" s="1"/>
  <c r="AD35" i="17"/>
  <c r="AD36" i="17"/>
  <c r="P5" i="16"/>
  <c r="P6" i="16"/>
  <c r="AA21" i="17"/>
  <c r="AA22" i="17"/>
  <c r="AB244" i="16"/>
  <c r="AB245" i="16"/>
  <c r="X1" i="10"/>
  <c r="W10" i="10"/>
  <c r="V14" i="8"/>
  <c r="V47" i="8"/>
  <c r="W15" i="15"/>
  <c r="L290" i="16"/>
  <c r="AA173" i="16"/>
  <c r="AA174" i="16"/>
  <c r="S86" i="16"/>
  <c r="S87" i="16"/>
  <c r="S12" i="17"/>
  <c r="S11" i="17"/>
  <c r="X23" i="17"/>
  <c r="X24" i="17" s="1"/>
  <c r="AE108" i="16"/>
  <c r="AE109" i="16"/>
  <c r="Y159" i="16"/>
  <c r="Y160" i="16"/>
  <c r="Q80" i="16"/>
  <c r="Q81" i="16" s="1"/>
  <c r="U91" i="17"/>
  <c r="U92" i="17" s="1"/>
  <c r="AA98" i="16"/>
  <c r="AA99" i="16"/>
  <c r="AC107" i="17"/>
  <c r="AC108" i="17"/>
  <c r="AB105" i="17"/>
  <c r="AB106" i="17" s="1"/>
  <c r="Z27" i="17"/>
  <c r="Z28" i="17" s="1"/>
  <c r="M7" i="17"/>
  <c r="M69" i="17" s="1"/>
  <c r="M147" i="17" s="1"/>
  <c r="L70" i="17"/>
  <c r="L148" i="17" s="1"/>
  <c r="J13" i="7" s="1"/>
  <c r="M218" i="16"/>
  <c r="M282" i="16" s="1"/>
  <c r="L283" i="16"/>
  <c r="W10" i="8"/>
  <c r="Y35" i="2"/>
  <c r="M60" i="10"/>
  <c r="M41" i="10"/>
  <c r="N41" i="10" s="1"/>
  <c r="O41" i="10" s="1"/>
  <c r="P41" i="10" s="1"/>
  <c r="Q41" i="10" s="1"/>
  <c r="R41" i="10" s="1"/>
  <c r="S41" i="10" s="1"/>
  <c r="T41" i="10" s="1"/>
  <c r="U41" i="10" s="1"/>
  <c r="V41" i="10" s="1"/>
  <c r="W41" i="10" s="1"/>
  <c r="X41" i="10" s="1"/>
  <c r="Y41" i="10" s="1"/>
  <c r="Z41" i="10" s="1"/>
  <c r="AA41" i="10" s="1"/>
  <c r="AB41" i="10" s="1"/>
  <c r="AC41" i="10" s="1"/>
  <c r="AD41" i="10" s="1"/>
  <c r="AE41" i="10" s="1"/>
  <c r="AF41" i="10" s="1"/>
  <c r="S291" i="16"/>
  <c r="S292" i="16" s="1"/>
  <c r="X15" i="16"/>
  <c r="X16" i="16"/>
  <c r="F6" i="19"/>
  <c r="F31" i="7"/>
  <c r="AF31" i="16"/>
  <c r="AF32" i="16"/>
  <c r="AD317" i="16"/>
  <c r="AD318" i="16" s="1"/>
  <c r="V93" i="17"/>
  <c r="V94" i="17"/>
  <c r="W308" i="16"/>
  <c r="W307" i="16"/>
  <c r="U5" i="8"/>
  <c r="L25" i="10"/>
  <c r="L61" i="10"/>
  <c r="O6" i="17"/>
  <c r="L8" i="16"/>
  <c r="F11" i="10"/>
  <c r="F61" i="10"/>
  <c r="V91" i="17" l="1"/>
  <c r="V92" i="17"/>
  <c r="AG185" i="16"/>
  <c r="AG186" i="16" s="1"/>
  <c r="Y23" i="17"/>
  <c r="Y24" i="17"/>
  <c r="AB96" i="16"/>
  <c r="AB97" i="16" s="1"/>
  <c r="AC31" i="17"/>
  <c r="AC32" i="17"/>
  <c r="AC27" i="16"/>
  <c r="AC28" i="16"/>
  <c r="AC101" i="17"/>
  <c r="AC102" i="17"/>
  <c r="Y92" i="16"/>
  <c r="Y93" i="16" s="1"/>
  <c r="X78" i="16"/>
  <c r="X79" i="16" s="1"/>
  <c r="AI111" i="17"/>
  <c r="AI112" i="17" s="1"/>
  <c r="R224" i="16"/>
  <c r="R225" i="16"/>
  <c r="AC319" i="16"/>
  <c r="AC320" i="16"/>
  <c r="Y19" i="16"/>
  <c r="Y20" i="16"/>
  <c r="AH33" i="16"/>
  <c r="AH34" i="16"/>
  <c r="X84" i="16"/>
  <c r="X85" i="16"/>
  <c r="AA29" i="17"/>
  <c r="AA30" i="17" s="1"/>
  <c r="AC99" i="17"/>
  <c r="AC100" i="17"/>
  <c r="R295" i="16"/>
  <c r="R296" i="16"/>
  <c r="AH183" i="16"/>
  <c r="AH184" i="16" s="1"/>
  <c r="V85" i="17"/>
  <c r="V86" i="17"/>
  <c r="T291" i="16"/>
  <c r="T292" i="16"/>
  <c r="AF309" i="16"/>
  <c r="AF310" i="16"/>
  <c r="AI187" i="16"/>
  <c r="AI188" i="16"/>
  <c r="T157" i="16"/>
  <c r="T158" i="16" s="1"/>
  <c r="AI39" i="16"/>
  <c r="AI40" i="16"/>
  <c r="AE252" i="16"/>
  <c r="AE253" i="16"/>
  <c r="AB303" i="16"/>
  <c r="AB304" i="16" s="1"/>
  <c r="AD106" i="16"/>
  <c r="AD107" i="16" s="1"/>
  <c r="T226" i="16"/>
  <c r="T227" i="16"/>
  <c r="AE103" i="17"/>
  <c r="AE104" i="17" s="1"/>
  <c r="AD232" i="16"/>
  <c r="AD233" i="16" s="1"/>
  <c r="W90" i="16"/>
  <c r="W91" i="16" s="1"/>
  <c r="AE109" i="17"/>
  <c r="AE110" i="17" s="1"/>
  <c r="AG257" i="16"/>
  <c r="AG256" i="16"/>
  <c r="X11" i="16"/>
  <c r="X12" i="16"/>
  <c r="AD311" i="16"/>
  <c r="AD312" i="16" s="1"/>
  <c r="O21" i="2"/>
  <c r="M29" i="7"/>
  <c r="R80" i="16"/>
  <c r="R81" i="16" s="1"/>
  <c r="AE317" i="16"/>
  <c r="AE318" i="16"/>
  <c r="AA27" i="17"/>
  <c r="AA28" i="17"/>
  <c r="AC105" i="17"/>
  <c r="AC106" i="17" s="1"/>
  <c r="U9" i="17"/>
  <c r="U10" i="17" s="1"/>
  <c r="X234" i="16"/>
  <c r="X235" i="16" s="1"/>
  <c r="Y163" i="16"/>
  <c r="Y164" i="16"/>
  <c r="AA171" i="16"/>
  <c r="AA172" i="16" s="1"/>
  <c r="AB242" i="16"/>
  <c r="AB243" i="16" s="1"/>
  <c r="S297" i="16"/>
  <c r="S298" i="16" s="1"/>
  <c r="W19" i="17"/>
  <c r="W20" i="17" s="1"/>
  <c r="AG37" i="17"/>
  <c r="AG38" i="17" s="1"/>
  <c r="AF177" i="16"/>
  <c r="AF178" i="16"/>
  <c r="S13" i="16"/>
  <c r="S14" i="16" s="1"/>
  <c r="Y220" i="16"/>
  <c r="Y221" i="16" s="1"/>
  <c r="Q294" i="16"/>
  <c r="Q293" i="16"/>
  <c r="V17" i="17"/>
  <c r="V18" i="17"/>
  <c r="AC313" i="16"/>
  <c r="AC314" i="16" s="1"/>
  <c r="AC175" i="16"/>
  <c r="AC176" i="16" s="1"/>
  <c r="T155" i="16"/>
  <c r="T156" i="16" s="1"/>
  <c r="AC240" i="16"/>
  <c r="AC241" i="16" s="1"/>
  <c r="AI45" i="17"/>
  <c r="AI46" i="17" s="1"/>
  <c r="AI118" i="16"/>
  <c r="AI119" i="16" s="1"/>
  <c r="AI104" i="16"/>
  <c r="AI105" i="16" s="1"/>
  <c r="Q152" i="16"/>
  <c r="Q151" i="16"/>
  <c r="U230" i="16"/>
  <c r="U231" i="16" s="1"/>
  <c r="S14" i="17"/>
  <c r="S13" i="17"/>
  <c r="T88" i="16"/>
  <c r="T89" i="16" s="1"/>
  <c r="R222" i="16"/>
  <c r="R223" i="16" s="1"/>
  <c r="U89" i="17"/>
  <c r="U90" i="17" s="1"/>
  <c r="Q77" i="16"/>
  <c r="Q76" i="16"/>
  <c r="P141" i="16"/>
  <c r="W31" i="8"/>
  <c r="AG29" i="16"/>
  <c r="AG30" i="16"/>
  <c r="AD35" i="16"/>
  <c r="AD36" i="16"/>
  <c r="AD251" i="16"/>
  <c r="AD250" i="16"/>
  <c r="R149" i="16"/>
  <c r="R150" i="16" s="1"/>
  <c r="Z5" i="2"/>
  <c r="U31" i="8"/>
  <c r="Q78" i="17"/>
  <c r="AH29" i="10"/>
  <c r="AG38" i="10"/>
  <c r="AG39" i="10" s="1"/>
  <c r="O72" i="16"/>
  <c r="N363" i="16"/>
  <c r="AG24" i="10"/>
  <c r="AG25" i="10" s="1"/>
  <c r="AH15" i="10"/>
  <c r="AC94" i="16"/>
  <c r="AC95" i="16"/>
  <c r="AI258" i="16"/>
  <c r="AI259" i="16" s="1"/>
  <c r="AC238" i="16"/>
  <c r="AC239" i="16"/>
  <c r="AG326" i="16"/>
  <c r="AG325" i="16"/>
  <c r="Y167" i="16"/>
  <c r="Y168" i="16" s="1"/>
  <c r="X22" i="16"/>
  <c r="X21" i="16"/>
  <c r="V228" i="16"/>
  <c r="V229" i="16" s="1"/>
  <c r="Z87" i="17"/>
  <c r="Z88" i="17" s="1"/>
  <c r="T12" i="17"/>
  <c r="T11" i="17"/>
  <c r="AG41" i="10"/>
  <c r="AH248" i="16"/>
  <c r="AH249" i="16"/>
  <c r="R81" i="17"/>
  <c r="R82" i="17"/>
  <c r="K36" i="7"/>
  <c r="F60" i="10"/>
  <c r="F13" i="10"/>
  <c r="N14" i="8"/>
  <c r="N47" i="8"/>
  <c r="M8" i="17"/>
  <c r="W11" i="10"/>
  <c r="W60" i="10" s="1"/>
  <c r="W59" i="10"/>
  <c r="W47" i="8"/>
  <c r="W14" i="8"/>
  <c r="AC100" i="16"/>
  <c r="AC101" i="16" s="1"/>
  <c r="L16" i="15"/>
  <c r="L19" i="15" s="1"/>
  <c r="K9" i="7"/>
  <c r="K23" i="8" s="1"/>
  <c r="AB99" i="16"/>
  <c r="AB98" i="16"/>
  <c r="AF108" i="16"/>
  <c r="AF109" i="16" s="1"/>
  <c r="AB173" i="16"/>
  <c r="AB174" i="16"/>
  <c r="Y1" i="10"/>
  <c r="X10" i="10"/>
  <c r="AE35" i="17"/>
  <c r="AE36" i="17" s="1"/>
  <c r="AC23" i="16"/>
  <c r="AC24" i="16"/>
  <c r="W305" i="16"/>
  <c r="W306" i="16"/>
  <c r="J32" i="8"/>
  <c r="J30" i="8" s="1"/>
  <c r="J6" i="8" s="1"/>
  <c r="J8" i="8" s="1"/>
  <c r="J21" i="8"/>
  <c r="X307" i="16"/>
  <c r="X308" i="16" s="1"/>
  <c r="AC244" i="16"/>
  <c r="AC245" i="16" s="1"/>
  <c r="AF18" i="34"/>
  <c r="AH15" i="9"/>
  <c r="AG31" i="29"/>
  <c r="AG32" i="29" s="1"/>
  <c r="Z15" i="17"/>
  <c r="Z16" i="17" s="1"/>
  <c r="N79" i="17"/>
  <c r="N141" i="17" s="1"/>
  <c r="M142" i="17"/>
  <c r="AH254" i="16"/>
  <c r="AH255" i="16" s="1"/>
  <c r="Z35" i="2"/>
  <c r="X10" i="8"/>
  <c r="AD179" i="16"/>
  <c r="AD180" i="16" s="1"/>
  <c r="AF110" i="16"/>
  <c r="AF111" i="16" s="1"/>
  <c r="Y95" i="17"/>
  <c r="Y96" i="17" s="1"/>
  <c r="Z236" i="16"/>
  <c r="Z237" i="16" s="1"/>
  <c r="AH43" i="17"/>
  <c r="AH44" i="17" s="1"/>
  <c r="V161" i="16"/>
  <c r="V162" i="16" s="1"/>
  <c r="W84" i="17"/>
  <c r="W83" i="17"/>
  <c r="AH113" i="17"/>
  <c r="AH114" i="17" s="1"/>
  <c r="AG31" i="16"/>
  <c r="AG32" i="16" s="1"/>
  <c r="AD107" i="17"/>
  <c r="AD108" i="17" s="1"/>
  <c r="Z159" i="16"/>
  <c r="Z160" i="16" s="1"/>
  <c r="T86" i="16"/>
  <c r="T87" i="16"/>
  <c r="Q5" i="16"/>
  <c r="Q6" i="16"/>
  <c r="M7" i="16"/>
  <c r="M69" i="16" s="1"/>
  <c r="M8" i="16"/>
  <c r="L70" i="16"/>
  <c r="P5" i="17"/>
  <c r="Y15" i="16"/>
  <c r="Y16" i="16"/>
  <c r="X299" i="16"/>
  <c r="X300" i="16" s="1"/>
  <c r="Y144" i="17"/>
  <c r="X150" i="17"/>
  <c r="AA13" i="2"/>
  <c r="AA24" i="2"/>
  <c r="AA7" i="2"/>
  <c r="AA14" i="2"/>
  <c r="Z10" i="9"/>
  <c r="AA6" i="2"/>
  <c r="AA5" i="2" s="1"/>
  <c r="AA10" i="2"/>
  <c r="AA11" i="2"/>
  <c r="AA16" i="2"/>
  <c r="Y8" i="15" s="1"/>
  <c r="Y3" i="15" s="1"/>
  <c r="AA15" i="2"/>
  <c r="AA20" i="2"/>
  <c r="AA12" i="2"/>
  <c r="Z25" i="16"/>
  <c r="Z26" i="16"/>
  <c r="AC169" i="16"/>
  <c r="AC170" i="16" s="1"/>
  <c r="V17" i="16"/>
  <c r="V18" i="16"/>
  <c r="AC246" i="16"/>
  <c r="AC247" i="16"/>
  <c r="Y301" i="16"/>
  <c r="Y302" i="16"/>
  <c r="M290" i="16"/>
  <c r="M289" i="16"/>
  <c r="M353" i="16" s="1"/>
  <c r="L354" i="16"/>
  <c r="T9" i="16"/>
  <c r="T10" i="16" s="1"/>
  <c r="W18" i="15"/>
  <c r="W17" i="15"/>
  <c r="O14" i="8"/>
  <c r="O47" i="8"/>
  <c r="AF181" i="16"/>
  <c r="AF182" i="16"/>
  <c r="X24" i="7"/>
  <c r="X27" i="8" s="1"/>
  <c r="X36" i="8" s="1"/>
  <c r="Z9" i="2"/>
  <c r="Q82" i="16"/>
  <c r="Q83" i="16" s="1"/>
  <c r="AC316" i="16"/>
  <c r="AC315" i="16"/>
  <c r="AA25" i="17"/>
  <c r="AA26" i="17" s="1"/>
  <c r="W165" i="16"/>
  <c r="W166" i="16"/>
  <c r="T153" i="16"/>
  <c r="T154" i="16" s="1"/>
  <c r="AG322" i="16"/>
  <c r="AG321" i="16"/>
  <c r="AC33" i="17"/>
  <c r="AC34" i="17"/>
  <c r="Z97" i="17"/>
  <c r="Z98" i="17"/>
  <c r="W93" i="17"/>
  <c r="W94" i="17"/>
  <c r="W5" i="8"/>
  <c r="L147" i="16"/>
  <c r="L211" i="16" s="1"/>
  <c r="L360" i="16" s="1"/>
  <c r="L19" i="2" s="1"/>
  <c r="L23" i="2" s="1"/>
  <c r="K212" i="16"/>
  <c r="K361" i="16" s="1"/>
  <c r="I14" i="7" s="1"/>
  <c r="I16" i="7" s="1"/>
  <c r="H17" i="34" s="1"/>
  <c r="AB21" i="17"/>
  <c r="AB22" i="17" s="1"/>
  <c r="L60" i="10"/>
  <c r="L27" i="10"/>
  <c r="M27" i="10" s="1"/>
  <c r="N27" i="10" s="1"/>
  <c r="O27" i="10" s="1"/>
  <c r="P27" i="10" s="1"/>
  <c r="Q27" i="10" s="1"/>
  <c r="R27" i="10" s="1"/>
  <c r="S27" i="10" s="1"/>
  <c r="T27" i="10" s="1"/>
  <c r="U27" i="10" s="1"/>
  <c r="V27" i="10" s="1"/>
  <c r="W27" i="10" s="1"/>
  <c r="X27" i="10" s="1"/>
  <c r="Y27" i="10" s="1"/>
  <c r="Z27" i="10" s="1"/>
  <c r="AA27" i="10" s="1"/>
  <c r="AB27" i="10" s="1"/>
  <c r="AC27" i="10" s="1"/>
  <c r="AD27" i="10" s="1"/>
  <c r="AE27" i="10" s="1"/>
  <c r="AF27" i="10" s="1"/>
  <c r="AG27" i="10" s="1"/>
  <c r="M219" i="16"/>
  <c r="Y299" i="16" l="1"/>
  <c r="Y300" i="16"/>
  <c r="AF35" i="17"/>
  <c r="AF36" i="17"/>
  <c r="Z167" i="16"/>
  <c r="Z168" i="16" s="1"/>
  <c r="U155" i="16"/>
  <c r="U156" i="16"/>
  <c r="T13" i="16"/>
  <c r="T14" i="16" s="1"/>
  <c r="AC303" i="16"/>
  <c r="AC304" i="16"/>
  <c r="Z92" i="16"/>
  <c r="Z93" i="16"/>
  <c r="S222" i="16"/>
  <c r="S223" i="16" s="1"/>
  <c r="AI113" i="17"/>
  <c r="AI114" i="17"/>
  <c r="AE179" i="16"/>
  <c r="AE180" i="16" s="1"/>
  <c r="U88" i="16"/>
  <c r="U89" i="16"/>
  <c r="AC242" i="16"/>
  <c r="AC243" i="16" s="1"/>
  <c r="AI183" i="16"/>
  <c r="AI184" i="16" s="1"/>
  <c r="AD169" i="16"/>
  <c r="AD170" i="16" s="1"/>
  <c r="AD240" i="16"/>
  <c r="AD241" i="16"/>
  <c r="Z220" i="16"/>
  <c r="Z221" i="16"/>
  <c r="AB171" i="16"/>
  <c r="AB172" i="16"/>
  <c r="AE106" i="16"/>
  <c r="AE107" i="16"/>
  <c r="Y78" i="16"/>
  <c r="Y79" i="16" s="1"/>
  <c r="AC96" i="16"/>
  <c r="AC97" i="16"/>
  <c r="AD244" i="16"/>
  <c r="AD245" i="16"/>
  <c r="AB25" i="17"/>
  <c r="AB26" i="17"/>
  <c r="W161" i="16"/>
  <c r="W162" i="16" s="1"/>
  <c r="AI254" i="16"/>
  <c r="AI255" i="16"/>
  <c r="Y307" i="16"/>
  <c r="Y308" i="16"/>
  <c r="S149" i="16"/>
  <c r="S150" i="16" s="1"/>
  <c r="V230" i="16"/>
  <c r="V231" i="16"/>
  <c r="AD175" i="16"/>
  <c r="AD176" i="16" s="1"/>
  <c r="S80" i="16"/>
  <c r="S81" i="16"/>
  <c r="AF109" i="17"/>
  <c r="AF110" i="17"/>
  <c r="T297" i="16"/>
  <c r="T298" i="16" s="1"/>
  <c r="AC21" i="17"/>
  <c r="AC22" i="17" s="1"/>
  <c r="AI43" i="17"/>
  <c r="AI44" i="17"/>
  <c r="AD100" i="16"/>
  <c r="AD101" i="16"/>
  <c r="AD313" i="16"/>
  <c r="AD314" i="16" s="1"/>
  <c r="Y234" i="16"/>
  <c r="Y235" i="16"/>
  <c r="X90" i="16"/>
  <c r="X91" i="16"/>
  <c r="AH185" i="16"/>
  <c r="AH186" i="16" s="1"/>
  <c r="U9" i="16"/>
  <c r="U10" i="16" s="1"/>
  <c r="AG110" i="16"/>
  <c r="AG111" i="16" s="1"/>
  <c r="AG108" i="16"/>
  <c r="AG109" i="16" s="1"/>
  <c r="U157" i="16"/>
  <c r="U158" i="16"/>
  <c r="AA159" i="16"/>
  <c r="AA160" i="16" s="1"/>
  <c r="AA236" i="16"/>
  <c r="AA237" i="16" s="1"/>
  <c r="AH37" i="17"/>
  <c r="AH38" i="17"/>
  <c r="V9" i="17"/>
  <c r="V10" i="17" s="1"/>
  <c r="AE232" i="16"/>
  <c r="AE233" i="16" s="1"/>
  <c r="AB29" i="17"/>
  <c r="AB30" i="17"/>
  <c r="AH31" i="16"/>
  <c r="AH32" i="16"/>
  <c r="W228" i="16"/>
  <c r="W229" i="16"/>
  <c r="U153" i="16"/>
  <c r="U154" i="16" s="1"/>
  <c r="R82" i="16"/>
  <c r="R83" i="16"/>
  <c r="AE107" i="17"/>
  <c r="AE108" i="17"/>
  <c r="Z95" i="17"/>
  <c r="Z96" i="17"/>
  <c r="AA15" i="17"/>
  <c r="AA16" i="17" s="1"/>
  <c r="AA87" i="17"/>
  <c r="AA88" i="17"/>
  <c r="V89" i="17"/>
  <c r="V90" i="17"/>
  <c r="X19" i="17"/>
  <c r="X20" i="17"/>
  <c r="AD105" i="17"/>
  <c r="AD106" i="17" s="1"/>
  <c r="AE311" i="16"/>
  <c r="AE312" i="16"/>
  <c r="AF103" i="17"/>
  <c r="AF104" i="17" s="1"/>
  <c r="R5" i="16"/>
  <c r="R6" i="16" s="1"/>
  <c r="X305" i="16"/>
  <c r="X306" i="16"/>
  <c r="M16" i="15"/>
  <c r="M19" i="15" s="1"/>
  <c r="L9" i="7"/>
  <c r="L23" i="8" s="1"/>
  <c r="X14" i="8"/>
  <c r="X47" i="8"/>
  <c r="S81" i="17"/>
  <c r="S82" i="17" s="1"/>
  <c r="AH325" i="16"/>
  <c r="AH326" i="16" s="1"/>
  <c r="AI15" i="10"/>
  <c r="AI24" i="10" s="1"/>
  <c r="AI25" i="10" s="1"/>
  <c r="AH24" i="10"/>
  <c r="AH25" i="10" s="1"/>
  <c r="T13" i="17"/>
  <c r="T14" i="17" s="1"/>
  <c r="Z163" i="16"/>
  <c r="Z164" i="16"/>
  <c r="AB27" i="17"/>
  <c r="AB28" i="17" s="1"/>
  <c r="W85" i="17"/>
  <c r="W86" i="17" s="1"/>
  <c r="AD319" i="16"/>
  <c r="AD320" i="16"/>
  <c r="AC173" i="16"/>
  <c r="AC174" i="16" s="1"/>
  <c r="AE35" i="16"/>
  <c r="AE36" i="16"/>
  <c r="R76" i="16"/>
  <c r="R140" i="16" s="1"/>
  <c r="Q141" i="16"/>
  <c r="N7" i="17"/>
  <c r="N69" i="17" s="1"/>
  <c r="N147" i="17" s="1"/>
  <c r="M70" i="17"/>
  <c r="M148" i="17" s="1"/>
  <c r="K13" i="7" s="1"/>
  <c r="S225" i="16"/>
  <c r="S224" i="16"/>
  <c r="AD101" i="17"/>
  <c r="AD102" i="17" s="1"/>
  <c r="Z23" i="17"/>
  <c r="Z24" i="17" s="1"/>
  <c r="Z15" i="16"/>
  <c r="Z16" i="16"/>
  <c r="X84" i="17"/>
  <c r="X83" i="17"/>
  <c r="L37" i="2"/>
  <c r="I22" i="34"/>
  <c r="I15" i="34"/>
  <c r="AD33" i="17"/>
  <c r="AD34" i="17" s="1"/>
  <c r="AG181" i="16"/>
  <c r="AG182" i="16"/>
  <c r="AH29" i="16"/>
  <c r="AH30" i="16"/>
  <c r="AF317" i="16"/>
  <c r="AF318" i="16" s="1"/>
  <c r="Y11" i="16"/>
  <c r="Y12" i="16" s="1"/>
  <c r="Y84" i="16"/>
  <c r="Y85" i="16"/>
  <c r="L148" i="16"/>
  <c r="Y15" i="15"/>
  <c r="U86" i="16"/>
  <c r="U87" i="16"/>
  <c r="N80" i="17"/>
  <c r="W17" i="17"/>
  <c r="W18" i="17" s="1"/>
  <c r="AG177" i="16"/>
  <c r="AG178" i="16"/>
  <c r="AA97" i="17"/>
  <c r="AA98" i="17"/>
  <c r="X165" i="16"/>
  <c r="X166" i="16" s="1"/>
  <c r="AD246" i="16"/>
  <c r="AD247" i="16" s="1"/>
  <c r="N218" i="16"/>
  <c r="N282" i="16" s="1"/>
  <c r="N219" i="16"/>
  <c r="M283" i="16"/>
  <c r="P6" i="17"/>
  <c r="F62" i="10"/>
  <c r="G28" i="7" s="1"/>
  <c r="G12" i="10"/>
  <c r="AH41" i="10"/>
  <c r="Y21" i="16"/>
  <c r="Y22" i="16" s="1"/>
  <c r="P72" i="16"/>
  <c r="O363" i="16"/>
  <c r="R151" i="16"/>
  <c r="R152" i="16" s="1"/>
  <c r="AF252" i="16"/>
  <c r="AF253" i="16" s="1"/>
  <c r="AG309" i="16"/>
  <c r="AG310" i="16"/>
  <c r="S295" i="16"/>
  <c r="S296" i="16" s="1"/>
  <c r="AI33" i="16"/>
  <c r="AI34" i="16" s="1"/>
  <c r="AD27" i="16"/>
  <c r="AD28" i="16"/>
  <c r="AA9" i="2"/>
  <c r="AA18" i="2" s="1"/>
  <c r="Y24" i="7"/>
  <c r="Y27" i="8" s="1"/>
  <c r="Y36" i="8" s="1"/>
  <c r="Y150" i="17"/>
  <c r="Z144" i="17"/>
  <c r="AC98" i="16"/>
  <c r="AC99" i="16"/>
  <c r="G47" i="8"/>
  <c r="G14" i="8"/>
  <c r="AH256" i="16"/>
  <c r="AH257" i="16" s="1"/>
  <c r="AD23" i="16"/>
  <c r="AD24" i="16" s="1"/>
  <c r="AH27" i="10"/>
  <c r="AI27" i="10" s="1"/>
  <c r="AH321" i="16"/>
  <c r="AH322" i="16"/>
  <c r="AD316" i="16"/>
  <c r="AD315" i="16"/>
  <c r="M354" i="16"/>
  <c r="N289" i="16"/>
  <c r="N353" i="16" s="1"/>
  <c r="N290" i="16"/>
  <c r="Z301" i="16"/>
  <c r="Z302" i="16"/>
  <c r="AA25" i="16"/>
  <c r="AA26" i="16" s="1"/>
  <c r="Y8" i="7"/>
  <c r="Y22" i="8" s="1"/>
  <c r="Y43" i="29"/>
  <c r="Y13" i="15"/>
  <c r="Y12" i="15" s="1"/>
  <c r="N7" i="16"/>
  <c r="N69" i="16" s="1"/>
  <c r="M70" i="16"/>
  <c r="X11" i="10"/>
  <c r="X60" i="10" s="1"/>
  <c r="X59" i="10"/>
  <c r="U11" i="17"/>
  <c r="U12" i="17"/>
  <c r="AD94" i="16"/>
  <c r="AD95" i="16"/>
  <c r="AI29" i="10"/>
  <c r="AI38" i="10" s="1"/>
  <c r="AI39" i="10" s="1"/>
  <c r="AH38" i="10"/>
  <c r="AH39" i="10" s="1"/>
  <c r="AE250" i="16"/>
  <c r="AE251" i="16"/>
  <c r="R293" i="16"/>
  <c r="R294" i="16" s="1"/>
  <c r="P21" i="2"/>
  <c r="N29" i="7"/>
  <c r="U226" i="16"/>
  <c r="U227" i="16" s="1"/>
  <c r="U291" i="16"/>
  <c r="U292" i="16" s="1"/>
  <c r="AD99" i="17"/>
  <c r="AD100" i="17"/>
  <c r="Z19" i="16"/>
  <c r="Z20" i="16"/>
  <c r="AD31" i="17"/>
  <c r="AD32" i="17" s="1"/>
  <c r="W91" i="17"/>
  <c r="W92" i="17"/>
  <c r="W17" i="16"/>
  <c r="W18" i="16"/>
  <c r="Y10" i="8"/>
  <c r="AA35" i="2"/>
  <c r="AI248" i="16"/>
  <c r="AI249" i="16" s="1"/>
  <c r="AD238" i="16"/>
  <c r="AD239" i="16" s="1"/>
  <c r="X13" i="15"/>
  <c r="X12" i="15" s="1"/>
  <c r="X15" i="15" s="1"/>
  <c r="X8" i="7"/>
  <c r="X22" i="8" s="1"/>
  <c r="Z18" i="2"/>
  <c r="X43" i="29"/>
  <c r="M47" i="8"/>
  <c r="M14" i="8"/>
  <c r="X94" i="17"/>
  <c r="X93" i="17"/>
  <c r="AB6" i="2"/>
  <c r="AB15" i="2"/>
  <c r="AB7" i="2"/>
  <c r="AB11" i="2"/>
  <c r="AB10" i="2"/>
  <c r="AB24" i="2"/>
  <c r="AA10" i="9"/>
  <c r="AB13" i="2"/>
  <c r="AB16" i="2"/>
  <c r="Z8" i="15" s="1"/>
  <c r="Z3" i="15" s="1"/>
  <c r="AB14" i="2"/>
  <c r="AB12" i="2"/>
  <c r="AB20" i="2"/>
  <c r="Z1" i="10"/>
  <c r="Y10" i="10"/>
  <c r="K32" i="8"/>
  <c r="K30" i="8" s="1"/>
  <c r="K6" i="8" s="1"/>
  <c r="K8" i="8" s="1"/>
  <c r="K21" i="8"/>
  <c r="L36" i="7"/>
  <c r="R77" i="17"/>
  <c r="R78" i="17" s="1"/>
  <c r="Q140" i="16"/>
  <c r="Y165" i="16" l="1"/>
  <c r="Y166" i="16"/>
  <c r="X85" i="17"/>
  <c r="X86" i="17" s="1"/>
  <c r="T81" i="17"/>
  <c r="T82" i="17"/>
  <c r="AG103" i="17"/>
  <c r="AG104" i="17" s="1"/>
  <c r="AF232" i="16"/>
  <c r="AF233" i="16" s="1"/>
  <c r="AH108" i="16"/>
  <c r="AH109" i="16" s="1"/>
  <c r="AE313" i="16"/>
  <c r="AE314" i="16" s="1"/>
  <c r="AF180" i="16"/>
  <c r="AF179" i="16"/>
  <c r="U13" i="16"/>
  <c r="U14" i="16" s="1"/>
  <c r="V153" i="16"/>
  <c r="V154" i="16" s="1"/>
  <c r="W9" i="17"/>
  <c r="W10" i="17"/>
  <c r="AH110" i="16"/>
  <c r="AH111" i="16" s="1"/>
  <c r="AE33" i="17"/>
  <c r="AE34" i="17"/>
  <c r="T296" i="16"/>
  <c r="T295" i="16"/>
  <c r="AI256" i="16"/>
  <c r="AI257" i="16" s="1"/>
  <c r="U13" i="17"/>
  <c r="U14" i="17" s="1"/>
  <c r="AB236" i="16"/>
  <c r="AB237" i="16"/>
  <c r="AB159" i="16"/>
  <c r="AB160" i="16" s="1"/>
  <c r="AD21" i="17"/>
  <c r="AD22" i="17" s="1"/>
  <c r="AD242" i="16"/>
  <c r="AD243" i="16" s="1"/>
  <c r="AB25" i="16"/>
  <c r="AB26" i="16" s="1"/>
  <c r="AC28" i="17"/>
  <c r="AC27" i="17"/>
  <c r="AE105" i="17"/>
  <c r="AE106" i="17" s="1"/>
  <c r="AI185" i="16"/>
  <c r="AI186" i="16" s="1"/>
  <c r="AE175" i="16"/>
  <c r="AE176" i="16" s="1"/>
  <c r="X161" i="16"/>
  <c r="X162" i="16" s="1"/>
  <c r="AE169" i="16"/>
  <c r="AE170" i="16" s="1"/>
  <c r="T223" i="16"/>
  <c r="T222" i="16"/>
  <c r="AA167" i="16"/>
  <c r="AA168" i="16"/>
  <c r="V291" i="16"/>
  <c r="V292" i="16" s="1"/>
  <c r="Y5" i="8"/>
  <c r="S293" i="16"/>
  <c r="S294" i="16" s="1"/>
  <c r="AB15" i="17"/>
  <c r="AB16" i="17" s="1"/>
  <c r="V10" i="16"/>
  <c r="V9" i="16"/>
  <c r="Z78" i="16"/>
  <c r="Z79" i="16" s="1"/>
  <c r="AE23" i="16"/>
  <c r="AE24" i="16" s="1"/>
  <c r="AG252" i="16"/>
  <c r="AG253" i="16"/>
  <c r="AA24" i="17"/>
  <c r="AA23" i="17"/>
  <c r="S151" i="16"/>
  <c r="S152" i="16" s="1"/>
  <c r="AE101" i="17"/>
  <c r="AE102" i="17" s="1"/>
  <c r="S77" i="17"/>
  <c r="V226" i="16"/>
  <c r="V227" i="16"/>
  <c r="X17" i="17"/>
  <c r="X18" i="17"/>
  <c r="Z11" i="16"/>
  <c r="Z12" i="16" s="1"/>
  <c r="AD173" i="16"/>
  <c r="AD174" i="16"/>
  <c r="AG317" i="16"/>
  <c r="AG318" i="16"/>
  <c r="U297" i="16"/>
  <c r="U298" i="16" s="1"/>
  <c r="T149" i="16"/>
  <c r="T150" i="16" s="1"/>
  <c r="AE238" i="16"/>
  <c r="AE239" i="16"/>
  <c r="AE31" i="17"/>
  <c r="AE32" i="17"/>
  <c r="Z21" i="16"/>
  <c r="Z22" i="16" s="1"/>
  <c r="AE247" i="16"/>
  <c r="AE246" i="16"/>
  <c r="AI325" i="16"/>
  <c r="AI326" i="16"/>
  <c r="S5" i="16"/>
  <c r="S6" i="16"/>
  <c r="Q21" i="2"/>
  <c r="O29" i="7" s="1"/>
  <c r="AE94" i="16"/>
  <c r="AE95" i="16" s="1"/>
  <c r="AA302" i="16"/>
  <c r="AA301" i="16"/>
  <c r="M147" i="16"/>
  <c r="M211" i="16" s="1"/>
  <c r="M360" i="16" s="1"/>
  <c r="M19" i="2" s="1"/>
  <c r="M23" i="2" s="1"/>
  <c r="L212" i="16"/>
  <c r="L361" i="16" s="1"/>
  <c r="J14" i="7" s="1"/>
  <c r="J16" i="7" s="1"/>
  <c r="I17" i="34" s="1"/>
  <c r="Y94" i="17"/>
  <c r="Y93" i="17"/>
  <c r="AF250" i="16"/>
  <c r="AF251" i="16" s="1"/>
  <c r="M9" i="7"/>
  <c r="M23" i="8" s="1"/>
  <c r="N16" i="15"/>
  <c r="N19" i="15" s="1"/>
  <c r="AF311" i="16"/>
  <c r="AF312" i="16"/>
  <c r="AB87" i="17"/>
  <c r="AB88" i="17" s="1"/>
  <c r="S82" i="16"/>
  <c r="S83" i="16" s="1"/>
  <c r="AC29" i="17"/>
  <c r="AC30" i="17"/>
  <c r="Z234" i="16"/>
  <c r="Z235" i="16" s="1"/>
  <c r="AD97" i="16"/>
  <c r="AD96" i="16"/>
  <c r="AA220" i="16"/>
  <c r="AA221" i="16" s="1"/>
  <c r="V155" i="16"/>
  <c r="V156" i="16"/>
  <c r="AA19" i="16"/>
  <c r="AA20" i="16" s="1"/>
  <c r="AC11" i="2"/>
  <c r="AC10" i="2"/>
  <c r="AC15" i="2"/>
  <c r="AC7" i="2"/>
  <c r="AC6" i="2"/>
  <c r="AC13" i="2"/>
  <c r="AC24" i="2"/>
  <c r="AB10" i="9"/>
  <c r="AC16" i="2"/>
  <c r="AA8" i="15" s="1"/>
  <c r="AA3" i="15" s="1"/>
  <c r="AC14" i="2"/>
  <c r="AC12" i="2"/>
  <c r="AC20" i="2"/>
  <c r="X91" i="17"/>
  <c r="X92" i="17" s="1"/>
  <c r="G6" i="19"/>
  <c r="G31" i="7"/>
  <c r="V86" i="16"/>
  <c r="V87" i="16"/>
  <c r="Y83" i="17"/>
  <c r="Y84" i="17"/>
  <c r="T224" i="16"/>
  <c r="T225" i="16"/>
  <c r="Z10" i="8"/>
  <c r="AB35" i="2"/>
  <c r="Y47" i="8"/>
  <c r="Y14" i="8"/>
  <c r="Y31" i="8"/>
  <c r="Z150" i="17"/>
  <c r="AA144" i="17"/>
  <c r="Q5" i="17"/>
  <c r="AB98" i="17"/>
  <c r="AB97" i="17"/>
  <c r="AA15" i="16"/>
  <c r="AA16" i="16" s="1"/>
  <c r="AF35" i="16"/>
  <c r="AF36" i="16"/>
  <c r="Y305" i="16"/>
  <c r="Y306" i="16"/>
  <c r="Y20" i="17"/>
  <c r="Y19" i="17"/>
  <c r="AA96" i="17"/>
  <c r="AA95" i="17"/>
  <c r="V157" i="16"/>
  <c r="V158" i="16" s="1"/>
  <c r="AE100" i="16"/>
  <c r="AE101" i="16"/>
  <c r="X5" i="8"/>
  <c r="N8" i="16"/>
  <c r="AB9" i="2"/>
  <c r="Z24" i="7"/>
  <c r="Z27" i="8" s="1"/>
  <c r="Z36" i="8" s="1"/>
  <c r="AE315" i="16"/>
  <c r="AE316" i="16"/>
  <c r="Q72" i="16"/>
  <c r="P363" i="16"/>
  <c r="W230" i="16"/>
  <c r="W231" i="16"/>
  <c r="AE240" i="16"/>
  <c r="AE241" i="16" s="1"/>
  <c r="V88" i="16"/>
  <c r="V89" i="16"/>
  <c r="AA92" i="16"/>
  <c r="AA93" i="16"/>
  <c r="AA163" i="16"/>
  <c r="AA164" i="16" s="1"/>
  <c r="O218" i="16"/>
  <c r="O282" i="16" s="1"/>
  <c r="N283" i="16"/>
  <c r="AH177" i="16"/>
  <c r="AH178" i="16" s="1"/>
  <c r="AI29" i="16"/>
  <c r="AI30" i="16" s="1"/>
  <c r="N8" i="17"/>
  <c r="X228" i="16"/>
  <c r="X229" i="16" s="1"/>
  <c r="AG109" i="17"/>
  <c r="AG110" i="17"/>
  <c r="AC25" i="17"/>
  <c r="AC26" i="17" s="1"/>
  <c r="AF106" i="16"/>
  <c r="AF107" i="16"/>
  <c r="AD303" i="16"/>
  <c r="AD304" i="16" s="1"/>
  <c r="AG35" i="17"/>
  <c r="AG36" i="17"/>
  <c r="AH309" i="16"/>
  <c r="AH310" i="16" s="1"/>
  <c r="Y17" i="15"/>
  <c r="Y18" i="15"/>
  <c r="AH181" i="16"/>
  <c r="AH182" i="16"/>
  <c r="M36" i="7"/>
  <c r="AB5" i="2"/>
  <c r="R77" i="16"/>
  <c r="W89" i="17"/>
  <c r="W90" i="17" s="1"/>
  <c r="AF107" i="17"/>
  <c r="AF108" i="17"/>
  <c r="AI31" i="16"/>
  <c r="AI32" i="16"/>
  <c r="AI37" i="17"/>
  <c r="AI38" i="17" s="1"/>
  <c r="Y90" i="16"/>
  <c r="Y91" i="16" s="1"/>
  <c r="T80" i="16"/>
  <c r="T81" i="16" s="1"/>
  <c r="Z307" i="16"/>
  <c r="Z308" i="16" s="1"/>
  <c r="AE244" i="16"/>
  <c r="AE245" i="16" s="1"/>
  <c r="AC172" i="16"/>
  <c r="AC171" i="16"/>
  <c r="Z299" i="16"/>
  <c r="Z300" i="16"/>
  <c r="AI321" i="16"/>
  <c r="AI322" i="16" s="1"/>
  <c r="AE27" i="16"/>
  <c r="AE28" i="16" s="1"/>
  <c r="AI41" i="10"/>
  <c r="Z84" i="16"/>
  <c r="Z85" i="16"/>
  <c r="AE319" i="16"/>
  <c r="AE320" i="16" s="1"/>
  <c r="Y11" i="10"/>
  <c r="Y60" i="10" s="1"/>
  <c r="Y59" i="10"/>
  <c r="X31" i="8"/>
  <c r="X17" i="16"/>
  <c r="X18" i="16" s="1"/>
  <c r="AE100" i="17"/>
  <c r="AE99" i="17"/>
  <c r="V11" i="17"/>
  <c r="V12" i="17"/>
  <c r="O289" i="16"/>
  <c r="O353" i="16" s="1"/>
  <c r="O290" i="16"/>
  <c r="N354" i="16"/>
  <c r="AD98" i="16"/>
  <c r="AD99" i="16"/>
  <c r="AA1" i="10"/>
  <c r="Z10" i="10"/>
  <c r="X18" i="15"/>
  <c r="X17" i="15"/>
  <c r="G61" i="10"/>
  <c r="G11" i="10"/>
  <c r="O79" i="17"/>
  <c r="O141" i="17" s="1"/>
  <c r="O80" i="17"/>
  <c r="N142" i="17"/>
  <c r="L21" i="8"/>
  <c r="L32" i="8"/>
  <c r="L30" i="8" s="1"/>
  <c r="L6" i="8" s="1"/>
  <c r="L8" i="8" s="1"/>
  <c r="AA307" i="16" l="1"/>
  <c r="AA308" i="16"/>
  <c r="AD25" i="17"/>
  <c r="AD26" i="17" s="1"/>
  <c r="V297" i="16"/>
  <c r="V298" i="16" s="1"/>
  <c r="W291" i="16"/>
  <c r="W292" i="16" s="1"/>
  <c r="AI110" i="16"/>
  <c r="AI111" i="16" s="1"/>
  <c r="AI108" i="16"/>
  <c r="AI109" i="16" s="1"/>
  <c r="X89" i="17"/>
  <c r="X90" i="17" s="1"/>
  <c r="AA78" i="16"/>
  <c r="AA79" i="16" s="1"/>
  <c r="AB15" i="16"/>
  <c r="AB16" i="16"/>
  <c r="AB19" i="16"/>
  <c r="AB20" i="16" s="1"/>
  <c r="T151" i="16"/>
  <c r="T152" i="16"/>
  <c r="AC25" i="16"/>
  <c r="AC26" i="16" s="1"/>
  <c r="V13" i="16"/>
  <c r="V14" i="16"/>
  <c r="AB163" i="16"/>
  <c r="AB164" i="16" s="1"/>
  <c r="AA21" i="16"/>
  <c r="AA22" i="16"/>
  <c r="AE303" i="16"/>
  <c r="AE304" i="16" s="1"/>
  <c r="T82" i="16"/>
  <c r="T83" i="16" s="1"/>
  <c r="AA11" i="16"/>
  <c r="AA12" i="16" s="1"/>
  <c r="AC15" i="17"/>
  <c r="AC16" i="17"/>
  <c r="AF169" i="16"/>
  <c r="AF170" i="16" s="1"/>
  <c r="AE242" i="16"/>
  <c r="AE243" i="16" s="1"/>
  <c r="Y85" i="17"/>
  <c r="Y86" i="17"/>
  <c r="AF244" i="16"/>
  <c r="AF245" i="16"/>
  <c r="AF24" i="16"/>
  <c r="AF23" i="16"/>
  <c r="AG232" i="16"/>
  <c r="AG233" i="16"/>
  <c r="AA234" i="16"/>
  <c r="AA235" i="16"/>
  <c r="AH103" i="17"/>
  <c r="AH104" i="17" s="1"/>
  <c r="Y17" i="16"/>
  <c r="Y18" i="16" s="1"/>
  <c r="U80" i="16"/>
  <c r="U81" i="16"/>
  <c r="Y228" i="16"/>
  <c r="Y229" i="16" s="1"/>
  <c r="AG250" i="16"/>
  <c r="AG251" i="16"/>
  <c r="AF101" i="17"/>
  <c r="AF102" i="17" s="1"/>
  <c r="W153" i="16"/>
  <c r="W154" i="16"/>
  <c r="Z90" i="16"/>
  <c r="Z91" i="16"/>
  <c r="AI177" i="16"/>
  <c r="AI178" i="16" s="1"/>
  <c r="AF240" i="16"/>
  <c r="AF241" i="16" s="1"/>
  <c r="Y161" i="16"/>
  <c r="Y162" i="16" s="1"/>
  <c r="AE21" i="17"/>
  <c r="AE22" i="17"/>
  <c r="AF105" i="17"/>
  <c r="AF106" i="17" s="1"/>
  <c r="AI309" i="16"/>
  <c r="AI310" i="16" s="1"/>
  <c r="AF94" i="16"/>
  <c r="AF95" i="16"/>
  <c r="V13" i="17"/>
  <c r="V14" i="17"/>
  <c r="AF27" i="16"/>
  <c r="AF28" i="16" s="1"/>
  <c r="W157" i="16"/>
  <c r="W158" i="16" s="1"/>
  <c r="R21" i="2"/>
  <c r="P29" i="7"/>
  <c r="AC87" i="17"/>
  <c r="AC88" i="17"/>
  <c r="T293" i="16"/>
  <c r="T294" i="16"/>
  <c r="AF319" i="16"/>
  <c r="AF320" i="16" s="1"/>
  <c r="Y91" i="17"/>
  <c r="Y92" i="17" s="1"/>
  <c r="AB220" i="16"/>
  <c r="AB221" i="16" s="1"/>
  <c r="U149" i="16"/>
  <c r="U150" i="16"/>
  <c r="AF175" i="16"/>
  <c r="AF176" i="16" s="1"/>
  <c r="AC159" i="16"/>
  <c r="AC160" i="16"/>
  <c r="AF313" i="16"/>
  <c r="AF314" i="16"/>
  <c r="Z11" i="10"/>
  <c r="Z60" i="10" s="1"/>
  <c r="Z59" i="10"/>
  <c r="W11" i="17"/>
  <c r="W12" i="17" s="1"/>
  <c r="AD171" i="16"/>
  <c r="AD172" i="16"/>
  <c r="AG35" i="16"/>
  <c r="AG36" i="16"/>
  <c r="AC35" i="2"/>
  <c r="AA10" i="8"/>
  <c r="AE97" i="16"/>
  <c r="AE96" i="16"/>
  <c r="Z93" i="17"/>
  <c r="Z94" i="17"/>
  <c r="AF246" i="16"/>
  <c r="AF247" i="16" s="1"/>
  <c r="P79" i="17"/>
  <c r="P141" i="17" s="1"/>
  <c r="O142" i="17"/>
  <c r="AA10" i="10"/>
  <c r="AB1" i="10"/>
  <c r="Z47" i="8"/>
  <c r="Z14" i="8"/>
  <c r="AG106" i="16"/>
  <c r="AG107" i="16"/>
  <c r="AG311" i="16"/>
  <c r="AG312" i="16" s="1"/>
  <c r="AG179" i="16"/>
  <c r="AG180" i="16" s="1"/>
  <c r="AB144" i="17"/>
  <c r="AA150" i="17"/>
  <c r="U224" i="16"/>
  <c r="U225" i="16"/>
  <c r="M148" i="16"/>
  <c r="Y18" i="17"/>
  <c r="Y17" i="17"/>
  <c r="U222" i="16"/>
  <c r="U223" i="16"/>
  <c r="Z13" i="15"/>
  <c r="Z12" i="15" s="1"/>
  <c r="Z15" i="15" s="1"/>
  <c r="Z43" i="29"/>
  <c r="AB18" i="2"/>
  <c r="O7" i="16"/>
  <c r="O69" i="16" s="1"/>
  <c r="N70" i="16"/>
  <c r="AC5" i="2"/>
  <c r="T5" i="16"/>
  <c r="T6" i="16"/>
  <c r="X9" i="17"/>
  <c r="X10" i="17" s="1"/>
  <c r="U82" i="17"/>
  <c r="U81" i="17"/>
  <c r="S76" i="16"/>
  <c r="S140" i="16" s="1"/>
  <c r="R141" i="16"/>
  <c r="O8" i="17"/>
  <c r="O7" i="17"/>
  <c r="O69" i="17" s="1"/>
  <c r="O147" i="17" s="1"/>
  <c r="N70" i="17"/>
  <c r="N148" i="17" s="1"/>
  <c r="L13" i="7" s="1"/>
  <c r="X231" i="16"/>
  <c r="X230" i="16"/>
  <c r="AF99" i="17"/>
  <c r="AF100" i="17" s="1"/>
  <c r="AB92" i="16"/>
  <c r="AB93" i="16"/>
  <c r="AB96" i="17"/>
  <c r="AB95" i="17"/>
  <c r="Z83" i="17"/>
  <c r="Z84" i="17" s="1"/>
  <c r="W156" i="16"/>
  <c r="W155" i="16"/>
  <c r="AD29" i="17"/>
  <c r="AD30" i="17"/>
  <c r="N9" i="7"/>
  <c r="N23" i="8" s="1"/>
  <c r="O16" i="15"/>
  <c r="O19" i="15" s="1"/>
  <c r="J22" i="34"/>
  <c r="J15" i="34"/>
  <c r="M37" i="2"/>
  <c r="AF31" i="17"/>
  <c r="AF32" i="17"/>
  <c r="AH317" i="16"/>
  <c r="AH318" i="16" s="1"/>
  <c r="W226" i="16"/>
  <c r="W227" i="16" s="1"/>
  <c r="M32" i="8"/>
  <c r="M30" i="8" s="1"/>
  <c r="M6" i="8" s="1"/>
  <c r="M8" i="8" s="1"/>
  <c r="AF238" i="16"/>
  <c r="AF239" i="16" s="1"/>
  <c r="AE173" i="16"/>
  <c r="AE174" i="16" s="1"/>
  <c r="AB23" i="17"/>
  <c r="AB24" i="17"/>
  <c r="W9" i="16"/>
  <c r="W10" i="16" s="1"/>
  <c r="AD27" i="17"/>
  <c r="AD28" i="17" s="1"/>
  <c r="U295" i="16"/>
  <c r="U296" i="16" s="1"/>
  <c r="AC9" i="2"/>
  <c r="AA24" i="7"/>
  <c r="AA27" i="8" s="1"/>
  <c r="AA36" i="8" s="1"/>
  <c r="AB301" i="16"/>
  <c r="AB302" i="16" s="1"/>
  <c r="O354" i="16"/>
  <c r="P289" i="16"/>
  <c r="P353" i="16" s="1"/>
  <c r="AI181" i="16"/>
  <c r="AI182" i="16" s="1"/>
  <c r="AF316" i="16"/>
  <c r="AF315" i="16"/>
  <c r="AF101" i="16"/>
  <c r="AF100" i="16"/>
  <c r="Z305" i="16"/>
  <c r="Z306" i="16"/>
  <c r="Q6" i="17"/>
  <c r="S78" i="17"/>
  <c r="AH252" i="16"/>
  <c r="AH253" i="16" s="1"/>
  <c r="AB167" i="16"/>
  <c r="AB168" i="16" s="1"/>
  <c r="AC237" i="16"/>
  <c r="AC236" i="16"/>
  <c r="AF33" i="17"/>
  <c r="AF34" i="17" s="1"/>
  <c r="Z166" i="16"/>
  <c r="Z165" i="16"/>
  <c r="G60" i="10"/>
  <c r="G13" i="10"/>
  <c r="AE99" i="16"/>
  <c r="AE98" i="16"/>
  <c r="AA84" i="16"/>
  <c r="AA85" i="16" s="1"/>
  <c r="AA300" i="16"/>
  <c r="AA299" i="16"/>
  <c r="AG107" i="17"/>
  <c r="AG108" i="17" s="1"/>
  <c r="N36" i="7"/>
  <c r="AH35" i="17"/>
  <c r="AH36" i="17" s="1"/>
  <c r="AH109" i="17"/>
  <c r="AH110" i="17"/>
  <c r="W88" i="16"/>
  <c r="W89" i="16"/>
  <c r="R72" i="16"/>
  <c r="Q363" i="16"/>
  <c r="Z19" i="17"/>
  <c r="Z20" i="17" s="1"/>
  <c r="AC97" i="17"/>
  <c r="AC98" i="17" s="1"/>
  <c r="W86" i="16"/>
  <c r="W87" i="16"/>
  <c r="O219" i="16"/>
  <c r="AD13" i="2"/>
  <c r="AD11" i="2"/>
  <c r="AD16" i="2"/>
  <c r="AB8" i="15" s="1"/>
  <c r="AB3" i="15" s="1"/>
  <c r="AD15" i="2"/>
  <c r="AD6" i="2"/>
  <c r="AD5" i="2" s="1"/>
  <c r="AD14" i="2"/>
  <c r="AD10" i="2"/>
  <c r="AD24" i="2"/>
  <c r="AC10" i="9"/>
  <c r="AD7" i="2"/>
  <c r="AD12" i="2"/>
  <c r="AD20" i="2"/>
  <c r="Y9" i="17" l="1"/>
  <c r="Y10" i="17"/>
  <c r="Y89" i="17"/>
  <c r="Y90" i="17" s="1"/>
  <c r="X9" i="16"/>
  <c r="X10" i="16" s="1"/>
  <c r="AH107" i="17"/>
  <c r="AH108" i="17"/>
  <c r="X11" i="17"/>
  <c r="X12" i="17" s="1"/>
  <c r="AG33" i="17"/>
  <c r="AG34" i="17" s="1"/>
  <c r="AC301" i="16"/>
  <c r="AC302" i="16"/>
  <c r="AF173" i="16"/>
  <c r="AF174" i="16"/>
  <c r="AA83" i="17"/>
  <c r="AA84" i="17"/>
  <c r="AC221" i="16"/>
  <c r="AC220" i="16"/>
  <c r="AG105" i="17"/>
  <c r="AG106" i="17"/>
  <c r="Z17" i="16"/>
  <c r="Z18" i="16"/>
  <c r="AB11" i="16"/>
  <c r="AB12" i="16"/>
  <c r="AD26" i="16"/>
  <c r="AD25" i="16"/>
  <c r="AG238" i="16"/>
  <c r="AG239" i="16"/>
  <c r="AH179" i="16"/>
  <c r="AH180" i="16"/>
  <c r="AI103" i="17"/>
  <c r="AI104" i="17"/>
  <c r="AH311" i="16"/>
  <c r="AH312" i="16" s="1"/>
  <c r="AG319" i="16"/>
  <c r="AG320" i="16"/>
  <c r="AG27" i="16"/>
  <c r="AG28" i="16"/>
  <c r="AG101" i="17"/>
  <c r="AG102" i="17" s="1"/>
  <c r="AF303" i="16"/>
  <c r="AF304" i="16" s="1"/>
  <c r="X291" i="16"/>
  <c r="X292" i="16" s="1"/>
  <c r="AI35" i="17"/>
  <c r="AI36" i="17"/>
  <c r="AI252" i="16"/>
  <c r="AI253" i="16"/>
  <c r="AE27" i="17"/>
  <c r="AE28" i="17" s="1"/>
  <c r="AI317" i="16"/>
  <c r="AI318" i="16"/>
  <c r="AG240" i="16"/>
  <c r="AG241" i="16" s="1"/>
  <c r="AA19" i="17"/>
  <c r="AA20" i="17" s="1"/>
  <c r="AG99" i="17"/>
  <c r="AG100" i="17" s="1"/>
  <c r="AB84" i="16"/>
  <c r="AB85" i="16"/>
  <c r="Z92" i="17"/>
  <c r="Z91" i="17"/>
  <c r="X157" i="16"/>
  <c r="X158" i="16"/>
  <c r="U82" i="16"/>
  <c r="U83" i="16" s="1"/>
  <c r="AC167" i="16"/>
  <c r="AC168" i="16"/>
  <c r="V295" i="16"/>
  <c r="V296" i="16" s="1"/>
  <c r="X226" i="16"/>
  <c r="X227" i="16"/>
  <c r="AG246" i="16"/>
  <c r="AG247" i="16" s="1"/>
  <c r="Z161" i="16"/>
  <c r="Z162" i="16" s="1"/>
  <c r="AC19" i="16"/>
  <c r="AC20" i="16" s="1"/>
  <c r="W297" i="16"/>
  <c r="W298" i="16" s="1"/>
  <c r="AD97" i="17"/>
  <c r="AD98" i="17" s="1"/>
  <c r="AF242" i="16"/>
  <c r="AF243" i="16"/>
  <c r="AE25" i="17"/>
  <c r="AE26" i="17" s="1"/>
  <c r="AG175" i="16"/>
  <c r="AG176" i="16"/>
  <c r="Z229" i="16"/>
  <c r="Z228" i="16"/>
  <c r="AG169" i="16"/>
  <c r="AG170" i="16"/>
  <c r="AC163" i="16"/>
  <c r="AC164" i="16" s="1"/>
  <c r="AB78" i="16"/>
  <c r="AB79" i="16" s="1"/>
  <c r="N32" i="8"/>
  <c r="N21" i="8"/>
  <c r="AC95" i="17"/>
  <c r="AC96" i="17"/>
  <c r="Z17" i="17"/>
  <c r="Z18" i="17" s="1"/>
  <c r="AF96" i="16"/>
  <c r="AF97" i="16" s="1"/>
  <c r="AG23" i="16"/>
  <c r="AG24" i="16" s="1"/>
  <c r="H47" i="8"/>
  <c r="H14" i="8"/>
  <c r="P290" i="16"/>
  <c r="Z8" i="7"/>
  <c r="Z22" i="8" s="1"/>
  <c r="V224" i="16"/>
  <c r="V225" i="16" s="1"/>
  <c r="AH106" i="16"/>
  <c r="AH107" i="16"/>
  <c r="P80" i="17"/>
  <c r="V149" i="16"/>
  <c r="V150" i="16"/>
  <c r="U293" i="16"/>
  <c r="U294" i="16" s="1"/>
  <c r="AH250" i="16"/>
  <c r="AH251" i="16"/>
  <c r="AG244" i="16"/>
  <c r="AG245" i="16" s="1"/>
  <c r="AD15" i="17"/>
  <c r="AD16" i="17"/>
  <c r="AB21" i="16"/>
  <c r="AB22" i="16" s="1"/>
  <c r="U151" i="16"/>
  <c r="U152" i="16"/>
  <c r="G62" i="10"/>
  <c r="H28" i="7" s="1"/>
  <c r="H12" i="10"/>
  <c r="AE29" i="17"/>
  <c r="AE30" i="17" s="1"/>
  <c r="Z5" i="8"/>
  <c r="AB15" i="15"/>
  <c r="AI109" i="17"/>
  <c r="AI110" i="17" s="1"/>
  <c r="AG100" i="16"/>
  <c r="AG101" i="16" s="1"/>
  <c r="S77" i="16"/>
  <c r="AA47" i="8"/>
  <c r="AA14" i="8"/>
  <c r="S72" i="16"/>
  <c r="R363" i="16"/>
  <c r="O36" i="7"/>
  <c r="AF98" i="16"/>
  <c r="AF99" i="16" s="1"/>
  <c r="AD237" i="16"/>
  <c r="AD236" i="16"/>
  <c r="AA305" i="16"/>
  <c r="AA306" i="16" s="1"/>
  <c r="AB13" i="15"/>
  <c r="AB12" i="15" s="1"/>
  <c r="AB8" i="7" s="1"/>
  <c r="AB22" i="8" s="1"/>
  <c r="AB43" i="29"/>
  <c r="X86" i="16"/>
  <c r="X87" i="16" s="1"/>
  <c r="X88" i="16"/>
  <c r="X89" i="16" s="1"/>
  <c r="AC93" i="16"/>
  <c r="AC92" i="16"/>
  <c r="P7" i="17"/>
  <c r="P69" i="17" s="1"/>
  <c r="P147" i="17" s="1"/>
  <c r="P8" i="17"/>
  <c r="O70" i="17"/>
  <c r="O148" i="17" s="1"/>
  <c r="M13" i="7" s="1"/>
  <c r="U5" i="16"/>
  <c r="U6" i="16"/>
  <c r="M212" i="16"/>
  <c r="M361" i="16" s="1"/>
  <c r="K14" i="7" s="1"/>
  <c r="K16" i="7" s="1"/>
  <c r="J17" i="34" s="1"/>
  <c r="N147" i="16"/>
  <c r="N211" i="16" s="1"/>
  <c r="N360" i="16" s="1"/>
  <c r="N19" i="2" s="1"/>
  <c r="N23" i="2" s="1"/>
  <c r="AB299" i="16"/>
  <c r="AB300" i="16" s="1"/>
  <c r="AA165" i="16"/>
  <c r="AA166" i="16" s="1"/>
  <c r="X155" i="16"/>
  <c r="X156" i="16" s="1"/>
  <c r="Z17" i="15"/>
  <c r="Z18" i="15"/>
  <c r="AH35" i="16"/>
  <c r="AH36" i="16" s="1"/>
  <c r="AG313" i="16"/>
  <c r="AG314" i="16" s="1"/>
  <c r="AD88" i="17"/>
  <c r="AD87" i="17"/>
  <c r="W13" i="17"/>
  <c r="W14" i="17" s="1"/>
  <c r="AF21" i="17"/>
  <c r="AF22" i="17" s="1"/>
  <c r="AA91" i="16"/>
  <c r="AA90" i="16"/>
  <c r="AB234" i="16"/>
  <c r="AB235" i="16" s="1"/>
  <c r="Z85" i="17"/>
  <c r="Z86" i="17"/>
  <c r="AD10" i="9"/>
  <c r="AE24" i="2"/>
  <c r="AE13" i="2"/>
  <c r="AE7" i="2"/>
  <c r="AE10" i="2"/>
  <c r="AE14" i="2"/>
  <c r="AE6" i="2"/>
  <c r="AE5" i="2" s="1"/>
  <c r="AE11" i="2"/>
  <c r="AE16" i="2"/>
  <c r="AC8" i="15" s="1"/>
  <c r="AC3" i="15" s="1"/>
  <c r="AE15" i="2"/>
  <c r="AE12" i="2"/>
  <c r="AE20" i="2"/>
  <c r="T77" i="17"/>
  <c r="T78" i="17" s="1"/>
  <c r="AG315" i="16"/>
  <c r="AG316" i="16"/>
  <c r="AA13" i="15"/>
  <c r="AA12" i="15" s="1"/>
  <c r="AA15" i="15" s="1"/>
  <c r="AA43" i="29"/>
  <c r="AC18" i="2"/>
  <c r="V222" i="16"/>
  <c r="V223" i="16"/>
  <c r="AB150" i="17"/>
  <c r="AC144" i="17"/>
  <c r="AA93" i="17"/>
  <c r="AA94" i="17" s="1"/>
  <c r="V81" i="17"/>
  <c r="V82" i="17" s="1"/>
  <c r="AC1" i="10"/>
  <c r="AB10" i="10"/>
  <c r="AE171" i="16"/>
  <c r="AE172" i="16" s="1"/>
  <c r="AD159" i="16"/>
  <c r="AD160" i="16" s="1"/>
  <c r="S21" i="2"/>
  <c r="Q29" i="7" s="1"/>
  <c r="AG94" i="16"/>
  <c r="AG95" i="16" s="1"/>
  <c r="X153" i="16"/>
  <c r="X154" i="16" s="1"/>
  <c r="V80" i="16"/>
  <c r="V81" i="16" s="1"/>
  <c r="AH232" i="16"/>
  <c r="AH233" i="16"/>
  <c r="W13" i="16"/>
  <c r="W14" i="16"/>
  <c r="AC15" i="16"/>
  <c r="AC16" i="16" s="1"/>
  <c r="AB307" i="16"/>
  <c r="AB308" i="16" s="1"/>
  <c r="AB10" i="8"/>
  <c r="AD35" i="2"/>
  <c r="AC23" i="17"/>
  <c r="AC24" i="17" s="1"/>
  <c r="AG31" i="17"/>
  <c r="AG32" i="17" s="1"/>
  <c r="Y231" i="16"/>
  <c r="Y230" i="16"/>
  <c r="AB24" i="7"/>
  <c r="AB27" i="8" s="1"/>
  <c r="AB36" i="8" s="1"/>
  <c r="AD9" i="2"/>
  <c r="AD18" i="2" s="1"/>
  <c r="P219" i="16"/>
  <c r="P218" i="16"/>
  <c r="P282" i="16" s="1"/>
  <c r="O283" i="16"/>
  <c r="R5" i="17"/>
  <c r="R6" i="17"/>
  <c r="P16" i="15"/>
  <c r="P19" i="15" s="1"/>
  <c r="O9" i="7"/>
  <c r="O23" i="8" s="1"/>
  <c r="O8" i="16"/>
  <c r="AA11" i="10"/>
  <c r="AA60" i="10" s="1"/>
  <c r="AA59" i="10"/>
  <c r="AG21" i="17" l="1"/>
  <c r="AG22" i="17"/>
  <c r="AE159" i="16"/>
  <c r="AE160" i="16"/>
  <c r="W224" i="16"/>
  <c r="W225" i="16"/>
  <c r="X297" i="16"/>
  <c r="X298" i="16" s="1"/>
  <c r="AH100" i="17"/>
  <c r="AH99" i="17"/>
  <c r="AH33" i="17"/>
  <c r="AH34" i="17" s="1"/>
  <c r="X13" i="17"/>
  <c r="X14" i="17" s="1"/>
  <c r="AH240" i="16"/>
  <c r="AH241" i="16" s="1"/>
  <c r="Y88" i="16"/>
  <c r="Y89" i="16" s="1"/>
  <c r="AH23" i="16"/>
  <c r="AH24" i="16" s="1"/>
  <c r="AD163" i="16"/>
  <c r="AD164" i="16"/>
  <c r="AF27" i="17"/>
  <c r="AF28" i="17"/>
  <c r="Z89" i="17"/>
  <c r="Z90" i="17" s="1"/>
  <c r="AF171" i="16"/>
  <c r="AF172" i="16"/>
  <c r="Y155" i="16"/>
  <c r="Y156" i="16"/>
  <c r="AB305" i="16"/>
  <c r="AB306" i="16" s="1"/>
  <c r="AD19" i="16"/>
  <c r="AD20" i="16"/>
  <c r="V82" i="16"/>
  <c r="V83" i="16" s="1"/>
  <c r="AB19" i="17"/>
  <c r="AB20" i="17"/>
  <c r="AI311" i="16"/>
  <c r="AI312" i="16" s="1"/>
  <c r="Y11" i="17"/>
  <c r="Y12" i="17"/>
  <c r="AB165" i="16"/>
  <c r="AB166" i="16"/>
  <c r="V293" i="16"/>
  <c r="V294" i="16"/>
  <c r="Y291" i="16"/>
  <c r="Y292" i="16" s="1"/>
  <c r="AH31" i="17"/>
  <c r="AH32" i="17" s="1"/>
  <c r="AA161" i="16"/>
  <c r="AA162" i="16"/>
  <c r="AD23" i="17"/>
  <c r="AD24" i="17"/>
  <c r="AC299" i="16"/>
  <c r="AC300" i="16"/>
  <c r="AH100" i="16"/>
  <c r="AH101" i="16"/>
  <c r="AH246" i="16"/>
  <c r="AH247" i="16"/>
  <c r="AG303" i="16"/>
  <c r="AG304" i="16"/>
  <c r="W80" i="16"/>
  <c r="W81" i="16"/>
  <c r="W82" i="17"/>
  <c r="W81" i="17"/>
  <c r="AG98" i="16"/>
  <c r="AG99" i="16"/>
  <c r="AC21" i="16"/>
  <c r="AC22" i="16"/>
  <c r="AC78" i="16"/>
  <c r="AC79" i="16"/>
  <c r="AF25" i="17"/>
  <c r="AF26" i="17" s="1"/>
  <c r="AH101" i="17"/>
  <c r="AH102" i="17" s="1"/>
  <c r="Y9" i="16"/>
  <c r="Y10" i="16"/>
  <c r="Y153" i="16"/>
  <c r="Y154" i="16"/>
  <c r="AB93" i="17"/>
  <c r="AB94" i="17" s="1"/>
  <c r="AH313" i="16"/>
  <c r="AH314" i="16"/>
  <c r="AB5" i="8"/>
  <c r="AC307" i="16"/>
  <c r="AC308" i="16"/>
  <c r="AH94" i="16"/>
  <c r="AH95" i="16" s="1"/>
  <c r="AC234" i="16"/>
  <c r="AC235" i="16"/>
  <c r="AI35" i="16"/>
  <c r="AI36" i="16"/>
  <c r="Y86" i="16"/>
  <c r="Y87" i="16" s="1"/>
  <c r="AG96" i="16"/>
  <c r="AG97" i="16" s="1"/>
  <c r="W295" i="16"/>
  <c r="W296" i="16"/>
  <c r="AD15" i="16"/>
  <c r="AD16" i="16"/>
  <c r="T21" i="2"/>
  <c r="R29" i="7"/>
  <c r="U77" i="17"/>
  <c r="U78" i="17" s="1"/>
  <c r="AF29" i="17"/>
  <c r="AF30" i="17" s="1"/>
  <c r="AH244" i="16"/>
  <c r="AH245" i="16" s="1"/>
  <c r="AA17" i="17"/>
  <c r="AA18" i="17"/>
  <c r="AE97" i="17"/>
  <c r="AE98" i="17" s="1"/>
  <c r="Q218" i="16"/>
  <c r="Q282" i="16" s="1"/>
  <c r="P283" i="16"/>
  <c r="AC43" i="29"/>
  <c r="AC13" i="15"/>
  <c r="AC12" i="15" s="1"/>
  <c r="AC15" i="15" s="1"/>
  <c r="K15" i="34"/>
  <c r="K22" i="34"/>
  <c r="N37" i="2"/>
  <c r="P9" i="7"/>
  <c r="P23" i="8" s="1"/>
  <c r="Q16" i="15"/>
  <c r="Q19" i="15" s="1"/>
  <c r="AA5" i="8"/>
  <c r="AE9" i="2"/>
  <c r="AE18" i="2" s="1"/>
  <c r="AC24" i="7"/>
  <c r="AC27" i="8" s="1"/>
  <c r="AC36" i="8" s="1"/>
  <c r="AE87" i="17"/>
  <c r="AE88" i="17"/>
  <c r="AD92" i="16"/>
  <c r="AD93" i="16"/>
  <c r="P36" i="7"/>
  <c r="H61" i="10"/>
  <c r="H11" i="10"/>
  <c r="Q289" i="16"/>
  <c r="Q353" i="16" s="1"/>
  <c r="P354" i="16"/>
  <c r="AH27" i="16"/>
  <c r="AH28" i="16" s="1"/>
  <c r="AI179" i="16"/>
  <c r="AI180" i="16" s="1"/>
  <c r="AA17" i="16"/>
  <c r="AA18" i="16" s="1"/>
  <c r="AG174" i="16"/>
  <c r="AG173" i="16"/>
  <c r="AI107" i="17"/>
  <c r="AI108" i="17" s="1"/>
  <c r="V5" i="16"/>
  <c r="H6" i="19"/>
  <c r="Q79" i="17"/>
  <c r="Q141" i="17" s="1"/>
  <c r="Q80" i="17"/>
  <c r="P142" i="17"/>
  <c r="AA92" i="17"/>
  <c r="AA91" i="17"/>
  <c r="AB90" i="16"/>
  <c r="AB91" i="16"/>
  <c r="T72" i="16"/>
  <c r="S363" i="16"/>
  <c r="AD95" i="17"/>
  <c r="AD96" i="17" s="1"/>
  <c r="AH169" i="16"/>
  <c r="AH170" i="16" s="1"/>
  <c r="AG242" i="16"/>
  <c r="AG243" i="16"/>
  <c r="AD167" i="16"/>
  <c r="AD168" i="16" s="1"/>
  <c r="AC84" i="16"/>
  <c r="AC85" i="16" s="1"/>
  <c r="AH238" i="16"/>
  <c r="AH239" i="16" s="1"/>
  <c r="AH105" i="17"/>
  <c r="AH106" i="17"/>
  <c r="AD301" i="16"/>
  <c r="AD302" i="16" s="1"/>
  <c r="S5" i="17"/>
  <c r="S6" i="17"/>
  <c r="Z230" i="16"/>
  <c r="Z231" i="16"/>
  <c r="AA18" i="15"/>
  <c r="AA17" i="15"/>
  <c r="AB18" i="15"/>
  <c r="AB17" i="15"/>
  <c r="V151" i="16"/>
  <c r="V152" i="16"/>
  <c r="AI250" i="16"/>
  <c r="AI251" i="16" s="1"/>
  <c r="AI106" i="16"/>
  <c r="AI107" i="16" s="1"/>
  <c r="AH319" i="16"/>
  <c r="AH320" i="16" s="1"/>
  <c r="AB47" i="8"/>
  <c r="AB14" i="8"/>
  <c r="AA8" i="7"/>
  <c r="AA22" i="8" s="1"/>
  <c r="AB31" i="8" s="1"/>
  <c r="AE35" i="2"/>
  <c r="AC10" i="8"/>
  <c r="AF10" i="2"/>
  <c r="AF6" i="2"/>
  <c r="AF16" i="2"/>
  <c r="AD8" i="15" s="1"/>
  <c r="AD3" i="15" s="1"/>
  <c r="AF11" i="2"/>
  <c r="AF13" i="2"/>
  <c r="AF24" i="2"/>
  <c r="AF7" i="2"/>
  <c r="AF14" i="2"/>
  <c r="AF15" i="2"/>
  <c r="AE10" i="9"/>
  <c r="AF20" i="2"/>
  <c r="AF12" i="2"/>
  <c r="AE236" i="16"/>
  <c r="AE237" i="16"/>
  <c r="AH315" i="16"/>
  <c r="AH316" i="16"/>
  <c r="Q7" i="17"/>
  <c r="Q69" i="17" s="1"/>
  <c r="Q147" i="17" s="1"/>
  <c r="P70" i="17"/>
  <c r="T76" i="16"/>
  <c r="T140" i="16" s="1"/>
  <c r="S141" i="16"/>
  <c r="AA228" i="16"/>
  <c r="AA229" i="16"/>
  <c r="AE25" i="16"/>
  <c r="AE26" i="16" s="1"/>
  <c r="AD221" i="16"/>
  <c r="AD220" i="16"/>
  <c r="P8" i="16"/>
  <c r="P7" i="16"/>
  <c r="P69" i="16" s="1"/>
  <c r="O70" i="16"/>
  <c r="AD144" i="17"/>
  <c r="AC150" i="17"/>
  <c r="X13" i="16"/>
  <c r="X14" i="16" s="1"/>
  <c r="AB11" i="10"/>
  <c r="AB60" i="10" s="1"/>
  <c r="AB59" i="10"/>
  <c r="AA85" i="17"/>
  <c r="AA86" i="17" s="1"/>
  <c r="O32" i="8"/>
  <c r="O30" i="8" s="1"/>
  <c r="O6" i="8" s="1"/>
  <c r="O8" i="8" s="1"/>
  <c r="O21" i="8"/>
  <c r="AD1" i="10"/>
  <c r="AC10" i="10"/>
  <c r="W222" i="16"/>
  <c r="W223" i="16"/>
  <c r="AE15" i="17"/>
  <c r="AE16" i="17" s="1"/>
  <c r="W149" i="16"/>
  <c r="W150" i="16"/>
  <c r="Z31" i="8"/>
  <c r="AH175" i="16"/>
  <c r="AH176" i="16"/>
  <c r="Y226" i="16"/>
  <c r="Y227" i="16" s="1"/>
  <c r="Y157" i="16"/>
  <c r="Y158" i="16" s="1"/>
  <c r="AC11" i="16"/>
  <c r="AC12" i="16"/>
  <c r="AB83" i="17"/>
  <c r="AB84" i="17"/>
  <c r="Z9" i="17"/>
  <c r="Z10" i="17"/>
  <c r="AI232" i="16"/>
  <c r="AI233" i="16"/>
  <c r="N148" i="16"/>
  <c r="AI240" i="16" l="1"/>
  <c r="AI241" i="16" s="1"/>
  <c r="AI238" i="16"/>
  <c r="AI239" i="16" s="1"/>
  <c r="AB85" i="17"/>
  <c r="AB86" i="17" s="1"/>
  <c r="AI319" i="16"/>
  <c r="AI320" i="16"/>
  <c r="AI244" i="16"/>
  <c r="AI245" i="16" s="1"/>
  <c r="AC305" i="16"/>
  <c r="AC306" i="16" s="1"/>
  <c r="AD84" i="16"/>
  <c r="AD85" i="16"/>
  <c r="AC18" i="15"/>
  <c r="AC17" i="15"/>
  <c r="AG29" i="17"/>
  <c r="AG30" i="17"/>
  <c r="AH96" i="16"/>
  <c r="AH97" i="16"/>
  <c r="Y297" i="16"/>
  <c r="Y298" i="16"/>
  <c r="AF15" i="17"/>
  <c r="AF16" i="17" s="1"/>
  <c r="AE167" i="16"/>
  <c r="AE168" i="16" s="1"/>
  <c r="AC5" i="8"/>
  <c r="V77" i="17"/>
  <c r="Z86" i="16"/>
  <c r="Z87" i="16"/>
  <c r="AI101" i="17"/>
  <c r="AI102" i="17" s="1"/>
  <c r="AI31" i="17"/>
  <c r="AI32" i="17"/>
  <c r="AI23" i="16"/>
  <c r="AI24" i="16" s="1"/>
  <c r="Z157" i="16"/>
  <c r="Z158" i="16"/>
  <c r="AG25" i="17"/>
  <c r="AG26" i="17" s="1"/>
  <c r="Z291" i="16"/>
  <c r="Z292" i="16" s="1"/>
  <c r="Z88" i="16"/>
  <c r="Z89" i="16" s="1"/>
  <c r="Z226" i="16"/>
  <c r="Z227" i="16"/>
  <c r="Y13" i="16"/>
  <c r="Y14" i="16" s="1"/>
  <c r="AF25" i="16"/>
  <c r="AF26" i="16"/>
  <c r="AE302" i="16"/>
  <c r="AE301" i="16"/>
  <c r="AI169" i="16"/>
  <c r="AI170" i="16" s="1"/>
  <c r="AB17" i="16"/>
  <c r="AB18" i="16"/>
  <c r="AF97" i="17"/>
  <c r="AF98" i="17" s="1"/>
  <c r="AC94" i="17"/>
  <c r="AC93" i="17"/>
  <c r="W82" i="16"/>
  <c r="W83" i="16" s="1"/>
  <c r="AA89" i="17"/>
  <c r="AA90" i="17" s="1"/>
  <c r="Y13" i="17"/>
  <c r="Y14" i="17"/>
  <c r="AE96" i="17"/>
  <c r="AE95" i="17"/>
  <c r="AI33" i="17"/>
  <c r="AI34" i="17" s="1"/>
  <c r="AI27" i="16"/>
  <c r="AI28" i="16" s="1"/>
  <c r="AI94" i="16"/>
  <c r="AI95" i="16"/>
  <c r="AC19" i="17"/>
  <c r="AC20" i="17" s="1"/>
  <c r="Z155" i="16"/>
  <c r="Z156" i="16"/>
  <c r="AE163" i="16"/>
  <c r="AE164" i="16"/>
  <c r="X224" i="16"/>
  <c r="X225" i="16"/>
  <c r="AI175" i="16"/>
  <c r="AI176" i="16" s="1"/>
  <c r="AE23" i="17"/>
  <c r="AE24" i="17" s="1"/>
  <c r="AC14" i="8"/>
  <c r="AC47" i="8"/>
  <c r="T77" i="16"/>
  <c r="AD10" i="8"/>
  <c r="AF35" i="2"/>
  <c r="Q36" i="7"/>
  <c r="Q219" i="16"/>
  <c r="X295" i="16"/>
  <c r="X296" i="16"/>
  <c r="AI313" i="16"/>
  <c r="AI314" i="16"/>
  <c r="AH98" i="16"/>
  <c r="AH99" i="16" s="1"/>
  <c r="AI246" i="16"/>
  <c r="AI247" i="16" s="1"/>
  <c r="AB161" i="16"/>
  <c r="AB162" i="16" s="1"/>
  <c r="AC165" i="16"/>
  <c r="AC166" i="16"/>
  <c r="AG171" i="16"/>
  <c r="AG172" i="16"/>
  <c r="AC84" i="17"/>
  <c r="AC83" i="17"/>
  <c r="R79" i="17"/>
  <c r="R141" i="17" s="1"/>
  <c r="R80" i="17"/>
  <c r="Q142" i="17"/>
  <c r="AE93" i="16"/>
  <c r="AE92" i="16"/>
  <c r="AD234" i="16"/>
  <c r="AD235" i="16" s="1"/>
  <c r="AE1" i="10"/>
  <c r="AD10" i="10"/>
  <c r="P148" i="17"/>
  <c r="N13" i="7" s="1"/>
  <c r="Z10" i="16"/>
  <c r="Z9" i="16"/>
  <c r="W293" i="16"/>
  <c r="W294" i="16" s="1"/>
  <c r="AD11" i="16"/>
  <c r="AD12" i="16" s="1"/>
  <c r="AA31" i="8"/>
  <c r="U72" i="16"/>
  <c r="T363" i="16"/>
  <c r="AH173" i="16"/>
  <c r="AH174" i="16" s="1"/>
  <c r="Q290" i="16"/>
  <c r="R16" i="15"/>
  <c r="R19" i="15" s="1"/>
  <c r="Q9" i="7"/>
  <c r="Q23" i="8" s="1"/>
  <c r="AI100" i="16"/>
  <c r="AI101" i="16" s="1"/>
  <c r="Z11" i="17"/>
  <c r="Z12" i="17"/>
  <c r="AE19" i="16"/>
  <c r="AE20" i="16"/>
  <c r="AF159" i="16"/>
  <c r="AF160" i="16"/>
  <c r="Q7" i="16"/>
  <c r="Q69" i="16" s="1"/>
  <c r="P70" i="16"/>
  <c r="AE15" i="16"/>
  <c r="AE16" i="16"/>
  <c r="AD21" i="16"/>
  <c r="AD22" i="16" s="1"/>
  <c r="X81" i="17"/>
  <c r="X82" i="17" s="1"/>
  <c r="AI99" i="17"/>
  <c r="AI100" i="17" s="1"/>
  <c r="X222" i="16"/>
  <c r="X223" i="16"/>
  <c r="AB91" i="17"/>
  <c r="AB92" i="17"/>
  <c r="AH303" i="16"/>
  <c r="AH304" i="16"/>
  <c r="N212" i="16"/>
  <c r="N361" i="16" s="1"/>
  <c r="L14" i="7" s="1"/>
  <c r="L16" i="7" s="1"/>
  <c r="K17" i="34" s="1"/>
  <c r="O147" i="16"/>
  <c r="O211" i="16" s="1"/>
  <c r="O360" i="16" s="1"/>
  <c r="O19" i="2" s="1"/>
  <c r="O23" i="2" s="1"/>
  <c r="O148" i="16"/>
  <c r="AC11" i="10"/>
  <c r="AC60" i="10" s="1"/>
  <c r="AC59" i="10"/>
  <c r="AE220" i="16"/>
  <c r="AE221" i="16" s="1"/>
  <c r="AE144" i="17"/>
  <c r="AD150" i="17"/>
  <c r="AB228" i="16"/>
  <c r="AB229" i="16" s="1"/>
  <c r="Q8" i="17"/>
  <c r="AG7" i="2"/>
  <c r="AG10" i="2"/>
  <c r="AG15" i="2"/>
  <c r="AG14" i="2"/>
  <c r="AF10" i="9"/>
  <c r="AG24" i="2"/>
  <c r="AG11" i="2"/>
  <c r="AG13" i="2"/>
  <c r="AG6" i="2"/>
  <c r="AG5" i="2" s="1"/>
  <c r="AG16" i="2"/>
  <c r="AE8" i="15" s="1"/>
  <c r="AE3" i="15" s="1"/>
  <c r="AG12" i="2"/>
  <c r="AG20" i="2"/>
  <c r="AF87" i="17"/>
  <c r="AF88" i="17" s="1"/>
  <c r="AI315" i="16"/>
  <c r="AI316" i="16"/>
  <c r="AD24" i="7"/>
  <c r="AD27" i="8" s="1"/>
  <c r="AD36" i="8" s="1"/>
  <c r="AF9" i="2"/>
  <c r="AH21" i="17"/>
  <c r="AH22" i="17" s="1"/>
  <c r="AF236" i="16"/>
  <c r="AF237" i="16"/>
  <c r="T6" i="17"/>
  <c r="T5" i="17"/>
  <c r="X149" i="16"/>
  <c r="X150" i="16" s="1"/>
  <c r="AF5" i="2"/>
  <c r="AI105" i="17"/>
  <c r="AI106" i="17" s="1"/>
  <c r="AH242" i="16"/>
  <c r="AH243" i="16"/>
  <c r="AC90" i="16"/>
  <c r="AC91" i="16"/>
  <c r="P32" i="8"/>
  <c r="P30" i="8" s="1"/>
  <c r="P6" i="8" s="1"/>
  <c r="P8" i="8" s="1"/>
  <c r="P21" i="8"/>
  <c r="AB17" i="17"/>
  <c r="AB18" i="17"/>
  <c r="AA9" i="17"/>
  <c r="AA10" i="17" s="1"/>
  <c r="W151" i="16"/>
  <c r="W152" i="16"/>
  <c r="AA230" i="16"/>
  <c r="AA231" i="16"/>
  <c r="V6" i="16"/>
  <c r="H60" i="10"/>
  <c r="H13" i="10"/>
  <c r="AC8" i="7"/>
  <c r="AC22" i="8" s="1"/>
  <c r="U21" i="2"/>
  <c r="S29" i="7" s="1"/>
  <c r="AD307" i="16"/>
  <c r="AD308" i="16" s="1"/>
  <c r="Z153" i="16"/>
  <c r="Z154" i="16" s="1"/>
  <c r="AD78" i="16"/>
  <c r="AD79" i="16"/>
  <c r="X80" i="16"/>
  <c r="X81" i="16"/>
  <c r="AD299" i="16"/>
  <c r="AD300" i="16"/>
  <c r="AG27" i="17"/>
  <c r="AG28" i="17" s="1"/>
  <c r="AB9" i="17" l="1"/>
  <c r="AB10" i="17"/>
  <c r="AF23" i="17"/>
  <c r="AF24" i="17" s="1"/>
  <c r="AA291" i="16"/>
  <c r="AA292" i="16"/>
  <c r="AH25" i="17"/>
  <c r="AH26" i="17"/>
  <c r="AC228" i="16"/>
  <c r="AC229" i="16"/>
  <c r="AI173" i="16"/>
  <c r="AI174" i="16" s="1"/>
  <c r="AI98" i="16"/>
  <c r="AI99" i="16" s="1"/>
  <c r="AA153" i="16"/>
  <c r="AA154" i="16" s="1"/>
  <c r="AG97" i="17"/>
  <c r="AG98" i="17"/>
  <c r="Z13" i="16"/>
  <c r="Z14" i="16" s="1"/>
  <c r="AF167" i="16"/>
  <c r="AF168" i="16"/>
  <c r="AC86" i="17"/>
  <c r="AC85" i="17"/>
  <c r="AH27" i="17"/>
  <c r="AH28" i="17" s="1"/>
  <c r="AE308" i="16"/>
  <c r="AE307" i="16"/>
  <c r="AF220" i="16"/>
  <c r="AF221" i="16"/>
  <c r="AE234" i="16"/>
  <c r="AE235" i="16" s="1"/>
  <c r="AG15" i="17"/>
  <c r="AG16" i="17"/>
  <c r="AI21" i="17"/>
  <c r="AI22" i="17" s="1"/>
  <c r="X293" i="16"/>
  <c r="X294" i="16" s="1"/>
  <c r="AD19" i="17"/>
  <c r="AD20" i="17" s="1"/>
  <c r="AA88" i="16"/>
  <c r="AA89" i="16"/>
  <c r="AB89" i="17"/>
  <c r="AB90" i="17" s="1"/>
  <c r="AD305" i="16"/>
  <c r="AD306" i="16" s="1"/>
  <c r="AC161" i="16"/>
  <c r="AC162" i="16" s="1"/>
  <c r="X82" i="16"/>
  <c r="X83" i="16" s="1"/>
  <c r="Y149" i="16"/>
  <c r="Y150" i="16" s="1"/>
  <c r="Y81" i="17"/>
  <c r="Y82" i="17" s="1"/>
  <c r="AE22" i="16"/>
  <c r="AE21" i="16"/>
  <c r="AG87" i="17"/>
  <c r="AG88" i="17"/>
  <c r="T29" i="7"/>
  <c r="V21" i="2"/>
  <c r="AE12" i="16"/>
  <c r="AE11" i="16"/>
  <c r="S16" i="15"/>
  <c r="S19" i="15" s="1"/>
  <c r="R9" i="7"/>
  <c r="R23" i="8" s="1"/>
  <c r="AF92" i="16"/>
  <c r="AF93" i="16" s="1"/>
  <c r="AD165" i="16"/>
  <c r="AD166" i="16"/>
  <c r="AF96" i="17"/>
  <c r="AF95" i="17"/>
  <c r="AD93" i="17"/>
  <c r="AD94" i="17" s="1"/>
  <c r="AF301" i="16"/>
  <c r="AF302" i="16" s="1"/>
  <c r="L22" i="34"/>
  <c r="L15" i="34"/>
  <c r="O37" i="2"/>
  <c r="AF15" i="16"/>
  <c r="AF16" i="16"/>
  <c r="R289" i="16"/>
  <c r="R353" i="16" s="1"/>
  <c r="Q354" i="16"/>
  <c r="AE78" i="16"/>
  <c r="AE79" i="16" s="1"/>
  <c r="AC31" i="8"/>
  <c r="I47" i="8"/>
  <c r="I14" i="8"/>
  <c r="AC17" i="17"/>
  <c r="AC18" i="17" s="1"/>
  <c r="AG236" i="16"/>
  <c r="AG237" i="16"/>
  <c r="W5" i="16"/>
  <c r="AE10" i="8"/>
  <c r="AG35" i="2"/>
  <c r="P147" i="16"/>
  <c r="P211" i="16" s="1"/>
  <c r="P360" i="16" s="1"/>
  <c r="P19" i="2" s="1"/>
  <c r="P23" i="2" s="1"/>
  <c r="O212" i="16"/>
  <c r="O361" i="16" s="1"/>
  <c r="M14" i="7" s="1"/>
  <c r="M16" i="7" s="1"/>
  <c r="L17" i="34" s="1"/>
  <c r="Y222" i="16"/>
  <c r="Y223" i="16"/>
  <c r="AF19" i="16"/>
  <c r="AF20" i="16" s="1"/>
  <c r="AE300" i="16"/>
  <c r="AE299" i="16"/>
  <c r="AB230" i="16"/>
  <c r="AB231" i="16" s="1"/>
  <c r="AD43" i="29"/>
  <c r="AD13" i="15"/>
  <c r="AD12" i="15" s="1"/>
  <c r="AD15" i="15" s="1"/>
  <c r="AF18" i="2"/>
  <c r="Z13" i="17"/>
  <c r="Z14" i="17" s="1"/>
  <c r="AH6" i="2"/>
  <c r="AH13" i="2"/>
  <c r="AH11" i="2"/>
  <c r="AG10" i="9"/>
  <c r="AH10" i="2"/>
  <c r="AH14" i="2"/>
  <c r="AH16" i="2"/>
  <c r="AF8" i="15" s="1"/>
  <c r="AF3" i="15" s="1"/>
  <c r="AH15" i="2"/>
  <c r="AH7" i="2"/>
  <c r="AH24" i="2"/>
  <c r="AH20" i="2"/>
  <c r="AH12" i="2"/>
  <c r="AD11" i="10"/>
  <c r="AD60" i="10" s="1"/>
  <c r="AD59" i="10"/>
  <c r="Y224" i="16"/>
  <c r="Y225" i="16" s="1"/>
  <c r="Z297" i="16"/>
  <c r="Z298" i="16" s="1"/>
  <c r="AE150" i="17"/>
  <c r="AF144" i="17"/>
  <c r="AA11" i="17"/>
  <c r="AA12" i="17" s="1"/>
  <c r="AF1" i="10"/>
  <c r="AE10" i="10"/>
  <c r="S79" i="17"/>
  <c r="S141" i="17" s="1"/>
  <c r="R142" i="17"/>
  <c r="Y295" i="16"/>
  <c r="Y296" i="16"/>
  <c r="T141" i="16"/>
  <c r="U76" i="16"/>
  <c r="U140" i="16" s="1"/>
  <c r="U77" i="16"/>
  <c r="AG26" i="16"/>
  <c r="AG25" i="16"/>
  <c r="V78" i="17"/>
  <c r="AE84" i="16"/>
  <c r="AE85" i="16"/>
  <c r="Y81" i="16"/>
  <c r="Y80" i="16"/>
  <c r="X151" i="16"/>
  <c r="X152" i="16" s="1"/>
  <c r="AD90" i="16"/>
  <c r="AD91" i="16"/>
  <c r="AI303" i="16"/>
  <c r="AI304" i="16" s="1"/>
  <c r="AF163" i="16"/>
  <c r="AF164" i="16"/>
  <c r="AC18" i="16"/>
  <c r="AC17" i="16"/>
  <c r="AI96" i="16"/>
  <c r="AI97" i="16"/>
  <c r="AE15" i="15"/>
  <c r="AE24" i="7"/>
  <c r="AE27" i="8" s="1"/>
  <c r="AE36" i="8" s="1"/>
  <c r="AG9" i="2"/>
  <c r="AG18" i="2" s="1"/>
  <c r="Q8" i="16"/>
  <c r="R218" i="16"/>
  <c r="R282" i="16" s="1"/>
  <c r="R219" i="16"/>
  <c r="Q283" i="16"/>
  <c r="AI242" i="16"/>
  <c r="AI243" i="16" s="1"/>
  <c r="U6" i="17"/>
  <c r="U5" i="17"/>
  <c r="AE13" i="15"/>
  <c r="AE12" i="15" s="1"/>
  <c r="AE8" i="7"/>
  <c r="AE22" i="8" s="1"/>
  <c r="AE43" i="29"/>
  <c r="V72" i="16"/>
  <c r="U363" i="16"/>
  <c r="AA9" i="16"/>
  <c r="AA10" i="16" s="1"/>
  <c r="AD83" i="17"/>
  <c r="AD84" i="17"/>
  <c r="AA155" i="16"/>
  <c r="AA156" i="16"/>
  <c r="AH29" i="17"/>
  <c r="AH30" i="17" s="1"/>
  <c r="H62" i="10"/>
  <c r="I28" i="7" s="1"/>
  <c r="I12" i="10"/>
  <c r="R7" i="17"/>
  <c r="R69" i="17" s="1"/>
  <c r="R147" i="17" s="1"/>
  <c r="Q70" i="17"/>
  <c r="Q148" i="17" s="1"/>
  <c r="O13" i="7" s="1"/>
  <c r="AC91" i="17"/>
  <c r="AC92" i="17"/>
  <c r="AG159" i="16"/>
  <c r="AG160" i="16"/>
  <c r="AH171" i="16"/>
  <c r="AH172" i="16"/>
  <c r="R36" i="7"/>
  <c r="AA226" i="16"/>
  <c r="AA227" i="16" s="1"/>
  <c r="AA157" i="16"/>
  <c r="AA158" i="16" s="1"/>
  <c r="AA86" i="16"/>
  <c r="AA87" i="16"/>
  <c r="AD14" i="8"/>
  <c r="AD47" i="8"/>
  <c r="Q32" i="8"/>
  <c r="Q30" i="8" s="1"/>
  <c r="Q6" i="8" s="1"/>
  <c r="Q8" i="8" s="1"/>
  <c r="Q21" i="8"/>
  <c r="AG301" i="16" l="1"/>
  <c r="AG302" i="16"/>
  <c r="AE93" i="17"/>
  <c r="AE94" i="17" s="1"/>
  <c r="Y293" i="16"/>
  <c r="Y294" i="16" s="1"/>
  <c r="AB11" i="17"/>
  <c r="AB12" i="17"/>
  <c r="AF78" i="16"/>
  <c r="AF79" i="16"/>
  <c r="AA13" i="16"/>
  <c r="AA14" i="16" s="1"/>
  <c r="AI29" i="17"/>
  <c r="AI30" i="17" s="1"/>
  <c r="Z81" i="17"/>
  <c r="Z82" i="17"/>
  <c r="AE19" i="17"/>
  <c r="AE20" i="17" s="1"/>
  <c r="AG19" i="16"/>
  <c r="AG20" i="16" s="1"/>
  <c r="Z149" i="16"/>
  <c r="Z150" i="16" s="1"/>
  <c r="AE5" i="8"/>
  <c r="AA297" i="16"/>
  <c r="AA298" i="16"/>
  <c r="AA13" i="17"/>
  <c r="AA14" i="17" s="1"/>
  <c r="Y82" i="16"/>
  <c r="Y83" i="16" s="1"/>
  <c r="AI27" i="17"/>
  <c r="AI28" i="17" s="1"/>
  <c r="AB153" i="16"/>
  <c r="AB154" i="16"/>
  <c r="Y151" i="16"/>
  <c r="Y152" i="16" s="1"/>
  <c r="AC231" i="16"/>
  <c r="AC230" i="16"/>
  <c r="AB157" i="16"/>
  <c r="AB158" i="16" s="1"/>
  <c r="Z224" i="16"/>
  <c r="Z225" i="16"/>
  <c r="AD17" i="17"/>
  <c r="AD18" i="17" s="1"/>
  <c r="AD161" i="16"/>
  <c r="AD162" i="16" s="1"/>
  <c r="AG23" i="17"/>
  <c r="AG24" i="17" s="1"/>
  <c r="AB226" i="16"/>
  <c r="AB227" i="16"/>
  <c r="AE305" i="16"/>
  <c r="AE306" i="16" s="1"/>
  <c r="AB9" i="16"/>
  <c r="AB10" i="16" s="1"/>
  <c r="AG92" i="16"/>
  <c r="AG93" i="16" s="1"/>
  <c r="AC89" i="17"/>
  <c r="AC90" i="17"/>
  <c r="AF234" i="16"/>
  <c r="AF235" i="16" s="1"/>
  <c r="AB155" i="16"/>
  <c r="AB156" i="16" s="1"/>
  <c r="S36" i="7"/>
  <c r="R8" i="17"/>
  <c r="AE18" i="15"/>
  <c r="AE17" i="15"/>
  <c r="Z80" i="16"/>
  <c r="Z81" i="16" s="1"/>
  <c r="M15" i="34"/>
  <c r="M22" i="34"/>
  <c r="P37" i="2"/>
  <c r="R32" i="8"/>
  <c r="R30" i="8" s="1"/>
  <c r="R6" i="8" s="1"/>
  <c r="R8" i="8" s="1"/>
  <c r="AI25" i="17"/>
  <c r="AI26" i="17" s="1"/>
  <c r="AF300" i="16"/>
  <c r="AF299" i="16"/>
  <c r="AD85" i="17"/>
  <c r="AD86" i="17" s="1"/>
  <c r="AG95" i="17"/>
  <c r="AG96" i="17" s="1"/>
  <c r="S9" i="7"/>
  <c r="S23" i="8" s="1"/>
  <c r="T16" i="15"/>
  <c r="T19" i="15" s="1"/>
  <c r="AF21" i="16"/>
  <c r="AF22" i="16" s="1"/>
  <c r="AD5" i="8"/>
  <c r="R290" i="16"/>
  <c r="AG221" i="16"/>
  <c r="AG220" i="16"/>
  <c r="AG167" i="16"/>
  <c r="AG168" i="16"/>
  <c r="AB291" i="16"/>
  <c r="AB292" i="16" s="1"/>
  <c r="AG144" i="17"/>
  <c r="AF150" i="17"/>
  <c r="AE47" i="8"/>
  <c r="AE14" i="8"/>
  <c r="AH9" i="2"/>
  <c r="AF24" i="7"/>
  <c r="AF27" i="8" s="1"/>
  <c r="AF36" i="8" s="1"/>
  <c r="AD17" i="15"/>
  <c r="AD18" i="15"/>
  <c r="AG15" i="16"/>
  <c r="AG16" i="16"/>
  <c r="AE165" i="16"/>
  <c r="AE166" i="16"/>
  <c r="AF11" i="16"/>
  <c r="AF12" i="16"/>
  <c r="AE83" i="17"/>
  <c r="AE84" i="17"/>
  <c r="AF84" i="16"/>
  <c r="AF85" i="16"/>
  <c r="AH159" i="16"/>
  <c r="AH160" i="16" s="1"/>
  <c r="I61" i="10"/>
  <c r="I11" i="10"/>
  <c r="S218" i="16"/>
  <c r="S282" i="16" s="1"/>
  <c r="R283" i="16"/>
  <c r="AE90" i="16"/>
  <c r="AE91" i="16"/>
  <c r="W77" i="17"/>
  <c r="W78" i="17"/>
  <c r="I6" i="19"/>
  <c r="S80" i="17"/>
  <c r="AI16" i="2"/>
  <c r="AG8" i="15" s="1"/>
  <c r="AG3" i="15" s="1"/>
  <c r="AI15" i="2"/>
  <c r="AI10" i="2"/>
  <c r="AI14" i="2"/>
  <c r="AI6" i="2"/>
  <c r="AI5" i="2" s="1"/>
  <c r="AI13" i="2"/>
  <c r="AI7" i="2"/>
  <c r="AI11" i="2"/>
  <c r="AH10" i="9"/>
  <c r="AI24" i="2"/>
  <c r="AI20" i="2"/>
  <c r="AI12" i="2"/>
  <c r="AD8" i="7"/>
  <c r="AD22" i="8" s="1"/>
  <c r="AE31" i="8" s="1"/>
  <c r="Z223" i="16"/>
  <c r="Z222" i="16"/>
  <c r="AB86" i="16"/>
  <c r="AB87" i="16"/>
  <c r="AI171" i="16"/>
  <c r="AI172" i="16" s="1"/>
  <c r="R7" i="16"/>
  <c r="R69" i="16" s="1"/>
  <c r="R8" i="16"/>
  <c r="Q70" i="16"/>
  <c r="AD18" i="16"/>
  <c r="AD17" i="16"/>
  <c r="AH25" i="16"/>
  <c r="AH26" i="16"/>
  <c r="W6" i="16"/>
  <c r="W21" i="2"/>
  <c r="U29" i="7"/>
  <c r="AF307" i="16"/>
  <c r="AF308" i="16" s="1"/>
  <c r="V5" i="17"/>
  <c r="AG163" i="16"/>
  <c r="AG164" i="16"/>
  <c r="V76" i="16"/>
  <c r="V140" i="16" s="1"/>
  <c r="V77" i="16"/>
  <c r="U141" i="16"/>
  <c r="AE11" i="10"/>
  <c r="AE60" i="10" s="1"/>
  <c r="AE59" i="10"/>
  <c r="AH35" i="2"/>
  <c r="AF10" i="8"/>
  <c r="AH236" i="16"/>
  <c r="AH237" i="16" s="1"/>
  <c r="AH87" i="17"/>
  <c r="AH88" i="17" s="1"/>
  <c r="AB88" i="16"/>
  <c r="AB89" i="16"/>
  <c r="AH15" i="17"/>
  <c r="AH16" i="17" s="1"/>
  <c r="AH97" i="17"/>
  <c r="AH98" i="17" s="1"/>
  <c r="AD229" i="16"/>
  <c r="AD228" i="16"/>
  <c r="AC9" i="17"/>
  <c r="AC10" i="17" s="1"/>
  <c r="Z295" i="16"/>
  <c r="Z296" i="16" s="1"/>
  <c r="AD91" i="17"/>
  <c r="AD92" i="17"/>
  <c r="W72" i="16"/>
  <c r="V363" i="16"/>
  <c r="AF10" i="10"/>
  <c r="AG1" i="10"/>
  <c r="AH5" i="2"/>
  <c r="P148" i="16"/>
  <c r="Z151" i="16" l="1"/>
  <c r="Z152" i="16" s="1"/>
  <c r="AD10" i="17"/>
  <c r="AD9" i="17"/>
  <c r="AH19" i="16"/>
  <c r="AH20" i="16"/>
  <c r="AH92" i="16"/>
  <c r="AH93" i="16"/>
  <c r="AF19" i="17"/>
  <c r="AF20" i="17"/>
  <c r="Z293" i="16"/>
  <c r="Z294" i="16" s="1"/>
  <c r="AH23" i="17"/>
  <c r="AH24" i="17" s="1"/>
  <c r="AH95" i="17"/>
  <c r="AH96" i="17"/>
  <c r="AE85" i="17"/>
  <c r="AE86" i="17"/>
  <c r="AF305" i="16"/>
  <c r="AF306" i="16"/>
  <c r="AC157" i="16"/>
  <c r="AC158" i="16"/>
  <c r="AB13" i="17"/>
  <c r="AB14" i="17" s="1"/>
  <c r="AF93" i="17"/>
  <c r="AF94" i="17" s="1"/>
  <c r="AG234" i="16"/>
  <c r="AG235" i="16"/>
  <c r="AA295" i="16"/>
  <c r="AA296" i="16" s="1"/>
  <c r="AE161" i="16"/>
  <c r="AE162" i="16"/>
  <c r="AE17" i="17"/>
  <c r="AE18" i="17"/>
  <c r="AI159" i="16"/>
  <c r="AI160" i="16"/>
  <c r="AC9" i="16"/>
  <c r="AC10" i="16"/>
  <c r="AG307" i="16"/>
  <c r="AG308" i="16"/>
  <c r="AI15" i="17"/>
  <c r="AI16" i="17"/>
  <c r="AG21" i="16"/>
  <c r="AG22" i="16" s="1"/>
  <c r="AI87" i="17"/>
  <c r="AI88" i="17"/>
  <c r="AA149" i="16"/>
  <c r="AA150" i="16"/>
  <c r="AI237" i="16"/>
  <c r="AI236" i="16"/>
  <c r="AA80" i="16"/>
  <c r="AA81" i="16"/>
  <c r="Z82" i="16"/>
  <c r="Z83" i="16"/>
  <c r="AI97" i="17"/>
  <c r="AI98" i="17"/>
  <c r="AC291" i="16"/>
  <c r="AC292" i="16" s="1"/>
  <c r="AC155" i="16"/>
  <c r="AC156" i="16"/>
  <c r="AB13" i="16"/>
  <c r="AB14" i="16"/>
  <c r="AH220" i="16"/>
  <c r="AH221" i="16"/>
  <c r="AA81" i="17"/>
  <c r="AA82" i="17" s="1"/>
  <c r="AC11" i="17"/>
  <c r="AC12" i="17"/>
  <c r="AG43" i="29"/>
  <c r="AI18" i="2"/>
  <c r="AG13" i="15"/>
  <c r="AG12" i="15" s="1"/>
  <c r="AG8" i="7" s="1"/>
  <c r="AG22" i="8" s="1"/>
  <c r="X6" i="16"/>
  <c r="X5" i="16"/>
  <c r="AA222" i="16"/>
  <c r="AA223" i="16"/>
  <c r="AF11" i="10"/>
  <c r="AF60" i="10" s="1"/>
  <c r="AF59" i="10"/>
  <c r="X77" i="17"/>
  <c r="X78" i="17" s="1"/>
  <c r="AG11" i="16"/>
  <c r="AG12" i="16"/>
  <c r="X72" i="16"/>
  <c r="W363" i="16"/>
  <c r="AG24" i="7"/>
  <c r="AG27" i="8" s="1"/>
  <c r="AG36" i="8" s="1"/>
  <c r="AI9" i="2"/>
  <c r="AD230" i="16"/>
  <c r="AD231" i="16" s="1"/>
  <c r="AC88" i="16"/>
  <c r="AC89" i="16" s="1"/>
  <c r="AI26" i="16"/>
  <c r="AI25" i="16"/>
  <c r="I60" i="10"/>
  <c r="I13" i="10"/>
  <c r="AH144" i="17"/>
  <c r="AG150" i="17"/>
  <c r="S289" i="16"/>
  <c r="S353" i="16" s="1"/>
  <c r="S290" i="16"/>
  <c r="R354" i="16"/>
  <c r="AE228" i="16"/>
  <c r="AE229" i="16" s="1"/>
  <c r="W76" i="16"/>
  <c r="W140" i="16" s="1"/>
  <c r="V141" i="16"/>
  <c r="W77" i="16"/>
  <c r="AG10" i="10"/>
  <c r="AH1" i="10"/>
  <c r="AF83" i="17"/>
  <c r="AF84" i="17"/>
  <c r="AF14" i="8"/>
  <c r="AF47" i="8"/>
  <c r="X21" i="2"/>
  <c r="V29" i="7"/>
  <c r="AC86" i="16"/>
  <c r="AC87" i="16" s="1"/>
  <c r="S7" i="17"/>
  <c r="S69" i="17" s="1"/>
  <c r="S147" i="17" s="1"/>
  <c r="R70" i="17"/>
  <c r="R148" i="17" s="1"/>
  <c r="P13" i="7" s="1"/>
  <c r="AD89" i="17"/>
  <c r="AD90" i="17"/>
  <c r="Q147" i="16"/>
  <c r="Q211" i="16" s="1"/>
  <c r="Q360" i="16" s="1"/>
  <c r="Q19" i="2" s="1"/>
  <c r="Q23" i="2" s="1"/>
  <c r="P212" i="16"/>
  <c r="P361" i="16" s="1"/>
  <c r="N14" i="7" s="1"/>
  <c r="N16" i="7" s="1"/>
  <c r="M17" i="34" s="1"/>
  <c r="AC226" i="16"/>
  <c r="AC227" i="16" s="1"/>
  <c r="AA224" i="16"/>
  <c r="AA225" i="16"/>
  <c r="AC154" i="16"/>
  <c r="AC153" i="16"/>
  <c r="AG78" i="16"/>
  <c r="AG79" i="16" s="1"/>
  <c r="AH301" i="16"/>
  <c r="AH302" i="16"/>
  <c r="V6" i="17"/>
  <c r="AD31" i="8"/>
  <c r="AE18" i="16"/>
  <c r="AE17" i="16"/>
  <c r="AG10" i="8"/>
  <c r="AI35" i="2"/>
  <c r="AF90" i="16"/>
  <c r="AF91" i="16"/>
  <c r="AF165" i="16"/>
  <c r="AF166" i="16"/>
  <c r="AE91" i="17"/>
  <c r="AE92" i="17" s="1"/>
  <c r="AH167" i="16"/>
  <c r="AH168" i="16" s="1"/>
  <c r="AG299" i="16"/>
  <c r="AG300" i="16" s="1"/>
  <c r="AH163" i="16"/>
  <c r="AH164" i="16" s="1"/>
  <c r="S7" i="16"/>
  <c r="S69" i="16" s="1"/>
  <c r="R70" i="16"/>
  <c r="T79" i="17"/>
  <c r="T141" i="17" s="1"/>
  <c r="S142" i="17"/>
  <c r="AG84" i="16"/>
  <c r="AG85" i="16"/>
  <c r="AH15" i="16"/>
  <c r="AH16" i="16" s="1"/>
  <c r="U16" i="15"/>
  <c r="U19" i="15" s="1"/>
  <c r="T9" i="7"/>
  <c r="T23" i="8" s="1"/>
  <c r="AB297" i="16"/>
  <c r="AB298" i="16"/>
  <c r="AF43" i="29"/>
  <c r="AF13" i="15"/>
  <c r="AF12" i="15" s="1"/>
  <c r="AF15" i="15" s="1"/>
  <c r="AH18" i="2"/>
  <c r="S219" i="16"/>
  <c r="S32" i="8"/>
  <c r="S21" i="8"/>
  <c r="T36" i="7"/>
  <c r="AB295" i="16" l="1"/>
  <c r="AB296" i="16" s="1"/>
  <c r="AI163" i="16"/>
  <c r="AI164" i="16" s="1"/>
  <c r="AH78" i="16"/>
  <c r="AH79" i="16" s="1"/>
  <c r="AF228" i="16"/>
  <c r="AF229" i="16" s="1"/>
  <c r="AI15" i="16"/>
  <c r="AI16" i="16"/>
  <c r="AH299" i="16"/>
  <c r="AH300" i="16" s="1"/>
  <c r="AI167" i="16"/>
  <c r="AI168" i="16"/>
  <c r="AD88" i="16"/>
  <c r="AD89" i="16"/>
  <c r="Y77" i="17"/>
  <c r="AH22" i="16"/>
  <c r="AH21" i="16"/>
  <c r="AG93" i="17"/>
  <c r="AG94" i="17" s="1"/>
  <c r="AF91" i="17"/>
  <c r="AF92" i="17" s="1"/>
  <c r="AE230" i="16"/>
  <c r="AE231" i="16" s="1"/>
  <c r="AC14" i="17"/>
  <c r="AC13" i="17"/>
  <c r="AD86" i="16"/>
  <c r="AD87" i="16" s="1"/>
  <c r="AI23" i="17"/>
  <c r="AI24" i="17"/>
  <c r="AD226" i="16"/>
  <c r="AD227" i="16" s="1"/>
  <c r="AD291" i="16"/>
  <c r="AD292" i="16" s="1"/>
  <c r="AA293" i="16"/>
  <c r="AA294" i="16" s="1"/>
  <c r="AB81" i="17"/>
  <c r="AB82" i="17"/>
  <c r="AA151" i="16"/>
  <c r="AA152" i="16"/>
  <c r="AF17" i="15"/>
  <c r="AF18" i="15"/>
  <c r="AH84" i="16"/>
  <c r="AH85" i="16"/>
  <c r="AG165" i="16"/>
  <c r="AG166" i="16"/>
  <c r="AD154" i="16"/>
  <c r="AD153" i="16"/>
  <c r="U36" i="7"/>
  <c r="AB224" i="16"/>
  <c r="AB225" i="16" s="1"/>
  <c r="Y21" i="2"/>
  <c r="W29" i="7"/>
  <c r="AG90" i="16"/>
  <c r="AG91" i="16"/>
  <c r="AI95" i="17"/>
  <c r="AI96" i="17" s="1"/>
  <c r="AI92" i="16"/>
  <c r="AI93" i="16"/>
  <c r="AI1" i="10"/>
  <c r="AI10" i="10" s="1"/>
  <c r="AH10" i="10"/>
  <c r="T289" i="16"/>
  <c r="T353" i="16" s="1"/>
  <c r="S354" i="16"/>
  <c r="AG11" i="10"/>
  <c r="AG60" i="10" s="1"/>
  <c r="AG59" i="10"/>
  <c r="AD9" i="16"/>
  <c r="AD10" i="16" s="1"/>
  <c r="AD157" i="16"/>
  <c r="AD158" i="16" s="1"/>
  <c r="AI221" i="16"/>
  <c r="AI220" i="16"/>
  <c r="AH307" i="16"/>
  <c r="AH308" i="16"/>
  <c r="AC297" i="16"/>
  <c r="AC298" i="16"/>
  <c r="W5" i="17"/>
  <c r="W6" i="17"/>
  <c r="AG47" i="8"/>
  <c r="AG14" i="8"/>
  <c r="T80" i="17"/>
  <c r="AD11" i="17"/>
  <c r="AD12" i="17"/>
  <c r="T218" i="16"/>
  <c r="T282" i="16" s="1"/>
  <c r="T219" i="16"/>
  <c r="S283" i="16"/>
  <c r="T32" i="8"/>
  <c r="T30" i="8" s="1"/>
  <c r="T6" i="8" s="1"/>
  <c r="T8" i="8" s="1"/>
  <c r="T21" i="8"/>
  <c r="AB149" i="16"/>
  <c r="AB150" i="16" s="1"/>
  <c r="AG5" i="8"/>
  <c r="AI301" i="16"/>
  <c r="AI302" i="16" s="1"/>
  <c r="Y72" i="16"/>
  <c r="X363" i="16"/>
  <c r="AB222" i="16"/>
  <c r="AB223" i="16"/>
  <c r="AC13" i="16"/>
  <c r="AC14" i="16" s="1"/>
  <c r="AA82" i="16"/>
  <c r="AA83" i="16" s="1"/>
  <c r="S8" i="17"/>
  <c r="X76" i="16"/>
  <c r="X140" i="16" s="1"/>
  <c r="X77" i="16"/>
  <c r="W141" i="16"/>
  <c r="AH11" i="16"/>
  <c r="AH12" i="16" s="1"/>
  <c r="AI19" i="16"/>
  <c r="AI20" i="16"/>
  <c r="U9" i="7"/>
  <c r="U23" i="8" s="1"/>
  <c r="V16" i="15"/>
  <c r="V19" i="15" s="1"/>
  <c r="AG15" i="15"/>
  <c r="AI144" i="17"/>
  <c r="AI150" i="17" s="1"/>
  <c r="AH150" i="17"/>
  <c r="AD155" i="16"/>
  <c r="AD156" i="16" s="1"/>
  <c r="AB80" i="16"/>
  <c r="AB81" i="16" s="1"/>
  <c r="AH234" i="16"/>
  <c r="AH235" i="16" s="1"/>
  <c r="AG305" i="16"/>
  <c r="AG306" i="16" s="1"/>
  <c r="AF5" i="8"/>
  <c r="S8" i="16"/>
  <c r="Q148" i="16"/>
  <c r="J12" i="10"/>
  <c r="I62" i="10"/>
  <c r="J28" i="7" s="1"/>
  <c r="AF17" i="16"/>
  <c r="AF18" i="16"/>
  <c r="N22" i="34"/>
  <c r="Q37" i="2"/>
  <c r="N15" i="34"/>
  <c r="AG83" i="17"/>
  <c r="AG84" i="17"/>
  <c r="J14" i="8"/>
  <c r="J47" i="8"/>
  <c r="Y5" i="16"/>
  <c r="AF17" i="17"/>
  <c r="AF18" i="17"/>
  <c r="AE9" i="17"/>
  <c r="AE10" i="17" s="1"/>
  <c r="AE89" i="17"/>
  <c r="AE90" i="17"/>
  <c r="AF85" i="17"/>
  <c r="AF86" i="17" s="1"/>
  <c r="AG19" i="17"/>
  <c r="AG20" i="17"/>
  <c r="AF8" i="7"/>
  <c r="AF22" i="8" s="1"/>
  <c r="AG31" i="8" s="1"/>
  <c r="AF162" i="16"/>
  <c r="AF161" i="16"/>
  <c r="AE86" i="16" l="1"/>
  <c r="AE87" i="16"/>
  <c r="AG228" i="16"/>
  <c r="AG229" i="16" s="1"/>
  <c r="AF9" i="17"/>
  <c r="AF10" i="17"/>
  <c r="AI78" i="16"/>
  <c r="AI79" i="16"/>
  <c r="AH305" i="16"/>
  <c r="AH306" i="16" s="1"/>
  <c r="AB82" i="16"/>
  <c r="AB83" i="16"/>
  <c r="AC149" i="16"/>
  <c r="AC150" i="16"/>
  <c r="AB293" i="16"/>
  <c r="AB294" i="16" s="1"/>
  <c r="AF230" i="16"/>
  <c r="AF231" i="16" s="1"/>
  <c r="AC295" i="16"/>
  <c r="AC296" i="16"/>
  <c r="AI234" i="16"/>
  <c r="AI235" i="16"/>
  <c r="AD13" i="16"/>
  <c r="AD14" i="16" s="1"/>
  <c r="AE291" i="16"/>
  <c r="AE292" i="16" s="1"/>
  <c r="AG91" i="17"/>
  <c r="AG92" i="17" s="1"/>
  <c r="AC80" i="16"/>
  <c r="AC81" i="16" s="1"/>
  <c r="AC224" i="16"/>
  <c r="AC225" i="16" s="1"/>
  <c r="AE226" i="16"/>
  <c r="AE227" i="16" s="1"/>
  <c r="AH93" i="17"/>
  <c r="AH94" i="17"/>
  <c r="AI299" i="16"/>
  <c r="AI300" i="16"/>
  <c r="AG86" i="17"/>
  <c r="AG85" i="17"/>
  <c r="AE155" i="16"/>
  <c r="AE156" i="16" s="1"/>
  <c r="AI11" i="16"/>
  <c r="AI12" i="16"/>
  <c r="AE157" i="16"/>
  <c r="AE158" i="16" s="1"/>
  <c r="AE9" i="16"/>
  <c r="AE10" i="16" s="1"/>
  <c r="J6" i="19"/>
  <c r="U218" i="16"/>
  <c r="U282" i="16" s="1"/>
  <c r="U219" i="16"/>
  <c r="T283" i="16"/>
  <c r="X6" i="17"/>
  <c r="X5" i="17"/>
  <c r="J11" i="10"/>
  <c r="J61" i="10"/>
  <c r="AG17" i="15"/>
  <c r="AG18" i="15"/>
  <c r="T290" i="16"/>
  <c r="AH90" i="16"/>
  <c r="AH91" i="16"/>
  <c r="V36" i="7"/>
  <c r="Q212" i="16"/>
  <c r="Q361" i="16" s="1"/>
  <c r="O14" i="7" s="1"/>
  <c r="O16" i="7" s="1"/>
  <c r="N17" i="34" s="1"/>
  <c r="R147" i="16"/>
  <c r="R211" i="16" s="1"/>
  <c r="R360" i="16" s="1"/>
  <c r="R19" i="2" s="1"/>
  <c r="R23" i="2" s="1"/>
  <c r="AH11" i="10"/>
  <c r="AH60" i="10" s="1"/>
  <c r="AH59" i="10"/>
  <c r="AD13" i="17"/>
  <c r="AD14" i="17" s="1"/>
  <c r="AI21" i="16"/>
  <c r="AI22" i="16" s="1"/>
  <c r="AI11" i="10"/>
  <c r="AI60" i="10" s="1"/>
  <c r="AI59" i="10"/>
  <c r="Z21" i="2"/>
  <c r="X29" i="7" s="1"/>
  <c r="AE154" i="16"/>
  <c r="AE153" i="16"/>
  <c r="AB151" i="16"/>
  <c r="AB152" i="16"/>
  <c r="AH19" i="17"/>
  <c r="AH20" i="17" s="1"/>
  <c r="AG17" i="17"/>
  <c r="AG18" i="17" s="1"/>
  <c r="AH83" i="17"/>
  <c r="AH84" i="17" s="1"/>
  <c r="AG17" i="16"/>
  <c r="AG18" i="16"/>
  <c r="W16" i="15"/>
  <c r="W19" i="15" s="1"/>
  <c r="V9" i="7"/>
  <c r="V23" i="8" s="1"/>
  <c r="T7" i="17"/>
  <c r="T69" i="17" s="1"/>
  <c r="T147" i="17" s="1"/>
  <c r="S70" i="17"/>
  <c r="S148" i="17" s="1"/>
  <c r="Q13" i="7" s="1"/>
  <c r="AF89" i="17"/>
  <c r="AF90" i="17" s="1"/>
  <c r="AG161" i="16"/>
  <c r="AG162" i="16" s="1"/>
  <c r="AF31" i="8"/>
  <c r="Y76" i="16"/>
  <c r="Y140" i="16" s="1"/>
  <c r="X141" i="16"/>
  <c r="AE11" i="17"/>
  <c r="AE12" i="17" s="1"/>
  <c r="AD297" i="16"/>
  <c r="AD298" i="16" s="1"/>
  <c r="T7" i="16"/>
  <c r="T69" i="16" s="1"/>
  <c r="S70" i="16"/>
  <c r="AC222" i="16"/>
  <c r="AC223" i="16"/>
  <c r="AH165" i="16"/>
  <c r="AH166" i="16" s="1"/>
  <c r="U32" i="8"/>
  <c r="U30" i="8" s="1"/>
  <c r="U6" i="8" s="1"/>
  <c r="U8" i="8" s="1"/>
  <c r="U21" i="8"/>
  <c r="U79" i="17"/>
  <c r="U141" i="17" s="1"/>
  <c r="T142" i="17"/>
  <c r="AI307" i="16"/>
  <c r="AI308" i="16" s="1"/>
  <c r="AC81" i="17"/>
  <c r="AC82" i="17"/>
  <c r="Y78" i="17"/>
  <c r="Z72" i="16"/>
  <c r="Y363" i="16"/>
  <c r="AI84" i="16"/>
  <c r="AI85" i="16"/>
  <c r="AE88" i="16"/>
  <c r="AE89" i="16" s="1"/>
  <c r="Y6" i="16"/>
  <c r="AH17" i="17" l="1"/>
  <c r="AH18" i="17" s="1"/>
  <c r="AI305" i="16"/>
  <c r="AI306" i="16" s="1"/>
  <c r="AE13" i="17"/>
  <c r="AE14" i="17"/>
  <c r="AG230" i="16"/>
  <c r="AG231" i="16"/>
  <c r="AI165" i="16"/>
  <c r="AI166" i="16" s="1"/>
  <c r="AF10" i="16"/>
  <c r="AF9" i="16"/>
  <c r="AE13" i="16"/>
  <c r="AE14" i="16"/>
  <c r="AH228" i="16"/>
  <c r="AH229" i="16" s="1"/>
  <c r="AF88" i="16"/>
  <c r="AF89" i="16"/>
  <c r="AG89" i="17"/>
  <c r="AG90" i="17" s="1"/>
  <c r="AF226" i="16"/>
  <c r="AF227" i="16"/>
  <c r="AI19" i="17"/>
  <c r="AI20" i="17"/>
  <c r="AF155" i="16"/>
  <c r="AF156" i="16"/>
  <c r="AD224" i="16"/>
  <c r="AD225" i="16" s="1"/>
  <c r="AE297" i="16"/>
  <c r="AE298" i="16" s="1"/>
  <c r="AD80" i="16"/>
  <c r="AD81" i="16"/>
  <c r="AF11" i="17"/>
  <c r="AF12" i="17"/>
  <c r="AH91" i="17"/>
  <c r="AH92" i="17" s="1"/>
  <c r="AC293" i="16"/>
  <c r="AC294" i="16" s="1"/>
  <c r="AF291" i="16"/>
  <c r="AF292" i="16"/>
  <c r="AA21" i="2"/>
  <c r="Y29" i="7"/>
  <c r="AF158" i="16"/>
  <c r="AF157" i="16"/>
  <c r="AH161" i="16"/>
  <c r="AH162" i="16"/>
  <c r="AI83" i="17"/>
  <c r="AI84" i="17"/>
  <c r="T354" i="16"/>
  <c r="U289" i="16"/>
  <c r="U353" i="16" s="1"/>
  <c r="U290" i="16"/>
  <c r="Y5" i="17"/>
  <c r="Y6" i="17"/>
  <c r="AH85" i="17"/>
  <c r="AH86" i="17"/>
  <c r="AD149" i="16"/>
  <c r="AD150" i="16"/>
  <c r="O22" i="34"/>
  <c r="O15" i="34"/>
  <c r="R37" i="2"/>
  <c r="AD222" i="16"/>
  <c r="AD223" i="16" s="1"/>
  <c r="AG9" i="17"/>
  <c r="AG10" i="17" s="1"/>
  <c r="AA72" i="16"/>
  <c r="Z363" i="16"/>
  <c r="U80" i="17"/>
  <c r="R148" i="16"/>
  <c r="V218" i="16"/>
  <c r="V282" i="16" s="1"/>
  <c r="U283" i="16"/>
  <c r="AI93" i="17"/>
  <c r="AI94" i="17"/>
  <c r="AD295" i="16"/>
  <c r="AD296" i="16"/>
  <c r="AC82" i="16"/>
  <c r="AC83" i="16"/>
  <c r="Z5" i="16"/>
  <c r="Z6" i="16"/>
  <c r="AF153" i="16"/>
  <c r="AF154" i="16" s="1"/>
  <c r="W9" i="7"/>
  <c r="W23" i="8" s="1"/>
  <c r="X16" i="15"/>
  <c r="X19" i="15" s="1"/>
  <c r="AH17" i="16"/>
  <c r="AH18" i="16" s="1"/>
  <c r="AC151" i="16"/>
  <c r="AC152" i="16"/>
  <c r="Z78" i="17"/>
  <c r="Z77" i="17"/>
  <c r="T8" i="16"/>
  <c r="Y77" i="16"/>
  <c r="T8" i="17"/>
  <c r="W36" i="7"/>
  <c r="AD81" i="17"/>
  <c r="AD82" i="17" s="1"/>
  <c r="AI90" i="16"/>
  <c r="AI91" i="16" s="1"/>
  <c r="J60" i="10"/>
  <c r="J13" i="10"/>
  <c r="AF86" i="16"/>
  <c r="AF87" i="16"/>
  <c r="V32" i="8"/>
  <c r="V30" i="8" s="1"/>
  <c r="V6" i="8" s="1"/>
  <c r="V8" i="8" s="1"/>
  <c r="V21" i="8"/>
  <c r="AI17" i="17" l="1"/>
  <c r="AI18" i="17"/>
  <c r="AE81" i="17"/>
  <c r="AE82" i="17"/>
  <c r="AI17" i="16"/>
  <c r="AI18" i="16" s="1"/>
  <c r="AF297" i="16"/>
  <c r="AF298" i="16" s="1"/>
  <c r="AH89" i="17"/>
  <c r="AH90" i="17"/>
  <c r="AE224" i="16"/>
  <c r="AE225" i="16" s="1"/>
  <c r="AH10" i="17"/>
  <c r="AH9" i="17"/>
  <c r="AD293" i="16"/>
  <c r="AD294" i="16" s="1"/>
  <c r="AG153" i="16"/>
  <c r="AG154" i="16" s="1"/>
  <c r="AE222" i="16"/>
  <c r="AE223" i="16"/>
  <c r="AI91" i="17"/>
  <c r="AI92" i="17" s="1"/>
  <c r="AI228" i="16"/>
  <c r="AI229" i="16" s="1"/>
  <c r="AA77" i="17"/>
  <c r="AG9" i="16"/>
  <c r="AG10" i="16"/>
  <c r="AB21" i="2"/>
  <c r="Z29" i="7"/>
  <c r="AG155" i="16"/>
  <c r="AG156" i="16" s="1"/>
  <c r="AG86" i="16"/>
  <c r="AG87" i="16" s="1"/>
  <c r="AE295" i="16"/>
  <c r="AE296" i="16" s="1"/>
  <c r="V289" i="16"/>
  <c r="V353" i="16" s="1"/>
  <c r="V290" i="16"/>
  <c r="U354" i="16"/>
  <c r="AG157" i="16"/>
  <c r="AG158" i="16"/>
  <c r="AG88" i="16"/>
  <c r="AG89" i="16"/>
  <c r="R212" i="16"/>
  <c r="R361" i="16" s="1"/>
  <c r="P14" i="7" s="1"/>
  <c r="P16" i="7" s="1"/>
  <c r="O17" i="34" s="1"/>
  <c r="S147" i="16"/>
  <c r="S211" i="16" s="1"/>
  <c r="S360" i="16" s="1"/>
  <c r="S19" i="2" s="1"/>
  <c r="S23" i="2" s="1"/>
  <c r="S148" i="16"/>
  <c r="AD82" i="16"/>
  <c r="AD83" i="16" s="1"/>
  <c r="V219" i="16"/>
  <c r="AE149" i="16"/>
  <c r="AE150" i="16" s="1"/>
  <c r="AG12" i="17"/>
  <c r="AG11" i="17"/>
  <c r="AD151" i="16"/>
  <c r="AD152" i="16" s="1"/>
  <c r="X36" i="7"/>
  <c r="V79" i="17"/>
  <c r="V141" i="17" s="1"/>
  <c r="U142" i="17"/>
  <c r="AI85" i="17"/>
  <c r="AI86" i="17"/>
  <c r="AG291" i="16"/>
  <c r="AG292" i="16"/>
  <c r="AE81" i="16"/>
  <c r="AE80" i="16"/>
  <c r="AH230" i="16"/>
  <c r="AH231" i="16"/>
  <c r="K12" i="10"/>
  <c r="J62" i="10"/>
  <c r="K28" i="7" s="1"/>
  <c r="U7" i="17"/>
  <c r="U69" i="17" s="1"/>
  <c r="U147" i="17" s="1"/>
  <c r="U8" i="17"/>
  <c r="T70" i="17"/>
  <c r="T148" i="17" s="1"/>
  <c r="R13" i="7" s="1"/>
  <c r="K47" i="8"/>
  <c r="K14" i="8"/>
  <c r="Z76" i="16"/>
  <c r="Z140" i="16" s="1"/>
  <c r="Y141" i="16"/>
  <c r="AA5" i="16"/>
  <c r="AA6" i="16"/>
  <c r="AB72" i="16"/>
  <c r="AA363" i="16"/>
  <c r="Z6" i="17"/>
  <c r="Z5" i="17"/>
  <c r="AI161" i="16"/>
  <c r="AI162" i="16"/>
  <c r="AG226" i="16"/>
  <c r="AG227" i="16"/>
  <c r="AF13" i="16"/>
  <c r="AF14" i="16" s="1"/>
  <c r="AF14" i="17"/>
  <c r="AF13" i="17"/>
  <c r="U7" i="16"/>
  <c r="U69" i="16" s="1"/>
  <c r="U8" i="16"/>
  <c r="T70" i="16"/>
  <c r="Y16" i="15"/>
  <c r="Y19" i="15" s="1"/>
  <c r="X9" i="7"/>
  <c r="X23" i="8" s="1"/>
  <c r="W32" i="8"/>
  <c r="W30" i="8" s="1"/>
  <c r="W6" i="8" s="1"/>
  <c r="W8" i="8" s="1"/>
  <c r="AG13" i="16" l="1"/>
  <c r="AG14" i="16"/>
  <c r="AH86" i="16"/>
  <c r="AH87" i="16" s="1"/>
  <c r="AH155" i="16"/>
  <c r="AH156" i="16"/>
  <c r="AF149" i="16"/>
  <c r="AF150" i="16" s="1"/>
  <c r="AG297" i="16"/>
  <c r="AG298" i="16" s="1"/>
  <c r="AH153" i="16"/>
  <c r="AH154" i="16" s="1"/>
  <c r="AE82" i="16"/>
  <c r="AE83" i="16"/>
  <c r="AE293" i="16"/>
  <c r="AE294" i="16"/>
  <c r="AE151" i="16"/>
  <c r="AE152" i="16"/>
  <c r="AF295" i="16"/>
  <c r="AF296" i="16" s="1"/>
  <c r="AF224" i="16"/>
  <c r="AF225" i="16"/>
  <c r="V7" i="16"/>
  <c r="V69" i="16" s="1"/>
  <c r="V8" i="16"/>
  <c r="U70" i="16"/>
  <c r="AH291" i="16"/>
  <c r="AH292" i="16" s="1"/>
  <c r="W289" i="16"/>
  <c r="W353" i="16" s="1"/>
  <c r="V354" i="16"/>
  <c r="AC21" i="2"/>
  <c r="AA29" i="7" s="1"/>
  <c r="AB5" i="16"/>
  <c r="AB6" i="16"/>
  <c r="K6" i="19"/>
  <c r="Z77" i="16"/>
  <c r="K11" i="10"/>
  <c r="K61" i="10"/>
  <c r="P15" i="34"/>
  <c r="S37" i="2"/>
  <c r="P22" i="34"/>
  <c r="AH9" i="16"/>
  <c r="AH10" i="16" s="1"/>
  <c r="AI9" i="17"/>
  <c r="AI10" i="17"/>
  <c r="T147" i="16"/>
  <c r="T211" i="16" s="1"/>
  <c r="T360" i="16" s="1"/>
  <c r="T19" i="2" s="1"/>
  <c r="T23" i="2" s="1"/>
  <c r="S212" i="16"/>
  <c r="S361" i="16" s="1"/>
  <c r="Q14" i="7" s="1"/>
  <c r="Q16" i="7" s="1"/>
  <c r="P17" i="34" s="1"/>
  <c r="T148" i="16"/>
  <c r="X32" i="8"/>
  <c r="X21" i="8"/>
  <c r="AI230" i="16"/>
  <c r="AI231" i="16" s="1"/>
  <c r="AH11" i="17"/>
  <c r="AH12" i="17"/>
  <c r="V7" i="17"/>
  <c r="V69" i="17" s="1"/>
  <c r="V147" i="17" s="1"/>
  <c r="V8" i="17"/>
  <c r="U70" i="17"/>
  <c r="U148" i="17" s="1"/>
  <c r="S13" i="7" s="1"/>
  <c r="AF80" i="16"/>
  <c r="AF81" i="16" s="1"/>
  <c r="AG13" i="17"/>
  <c r="AG14" i="17"/>
  <c r="AA5" i="17"/>
  <c r="AA6" i="17"/>
  <c r="Z16" i="15"/>
  <c r="Z19" i="15" s="1"/>
  <c r="Y9" i="7"/>
  <c r="Y23" i="8" s="1"/>
  <c r="AH226" i="16"/>
  <c r="AH227" i="16" s="1"/>
  <c r="AC72" i="16"/>
  <c r="AB363" i="16"/>
  <c r="AH88" i="16"/>
  <c r="AH89" i="16"/>
  <c r="AF222" i="16"/>
  <c r="AF223" i="16" s="1"/>
  <c r="AF81" i="17"/>
  <c r="AF82" i="17" s="1"/>
  <c r="V80" i="17"/>
  <c r="W218" i="16"/>
  <c r="W282" i="16" s="1"/>
  <c r="V283" i="16"/>
  <c r="AH157" i="16"/>
  <c r="AH158" i="16"/>
  <c r="AI89" i="17"/>
  <c r="AI90" i="17"/>
  <c r="Y36" i="7"/>
  <c r="AA78" i="17"/>
  <c r="AG80" i="16" l="1"/>
  <c r="AG81" i="16"/>
  <c r="AD21" i="2"/>
  <c r="AB29" i="7"/>
  <c r="AI153" i="16"/>
  <c r="AI154" i="16"/>
  <c r="AI226" i="16"/>
  <c r="AI227" i="16" s="1"/>
  <c r="AG295" i="16"/>
  <c r="AG296" i="16"/>
  <c r="AH297" i="16"/>
  <c r="AH298" i="16" s="1"/>
  <c r="AG149" i="16"/>
  <c r="AG150" i="16"/>
  <c r="AG81" i="17"/>
  <c r="AG82" i="17" s="1"/>
  <c r="AI291" i="16"/>
  <c r="AI292" i="16"/>
  <c r="AG222" i="16"/>
  <c r="AG223" i="16" s="1"/>
  <c r="AI86" i="16"/>
  <c r="AI87" i="16"/>
  <c r="AI10" i="16"/>
  <c r="AI9" i="16"/>
  <c r="W219" i="16"/>
  <c r="Z36" i="7"/>
  <c r="W7" i="16"/>
  <c r="W69" i="16" s="1"/>
  <c r="W8" i="16"/>
  <c r="V70" i="16"/>
  <c r="AF293" i="16"/>
  <c r="AF294" i="16"/>
  <c r="AI11" i="17"/>
  <c r="AI12" i="17"/>
  <c r="Q17" i="34"/>
  <c r="T37" i="2"/>
  <c r="Q22" i="34"/>
  <c r="Q15" i="34"/>
  <c r="W290" i="16"/>
  <c r="AI157" i="16"/>
  <c r="AI158" i="16"/>
  <c r="AD72" i="16"/>
  <c r="AC363" i="16"/>
  <c r="AH13" i="17"/>
  <c r="AH14" i="17"/>
  <c r="AC5" i="16"/>
  <c r="AC6" i="16"/>
  <c r="AG224" i="16"/>
  <c r="AG225" i="16"/>
  <c r="AF82" i="16"/>
  <c r="AF83" i="16"/>
  <c r="AI155" i="16"/>
  <c r="AI156" i="16"/>
  <c r="AB77" i="17"/>
  <c r="Y32" i="8"/>
  <c r="Y30" i="8" s="1"/>
  <c r="Y6" i="8" s="1"/>
  <c r="Y8" i="8" s="1"/>
  <c r="Y21" i="8"/>
  <c r="AI88" i="16"/>
  <c r="AI89" i="16"/>
  <c r="AA16" i="15"/>
  <c r="AA19" i="15" s="1"/>
  <c r="Z9" i="7"/>
  <c r="Z23" i="8" s="1"/>
  <c r="AF151" i="16"/>
  <c r="AF152" i="16" s="1"/>
  <c r="AH13" i="16"/>
  <c r="AH14" i="16"/>
  <c r="K60" i="10"/>
  <c r="K13" i="10"/>
  <c r="W79" i="17"/>
  <c r="W141" i="17" s="1"/>
  <c r="V142" i="17"/>
  <c r="AB5" i="17"/>
  <c r="W7" i="17"/>
  <c r="W69" i="17" s="1"/>
  <c r="W8" i="17"/>
  <c r="V70" i="17"/>
  <c r="U147" i="16"/>
  <c r="U211" i="16" s="1"/>
  <c r="U360" i="16" s="1"/>
  <c r="U19" i="2" s="1"/>
  <c r="U23" i="2" s="1"/>
  <c r="U148" i="16"/>
  <c r="T212" i="16"/>
  <c r="T361" i="16" s="1"/>
  <c r="R14" i="7" s="1"/>
  <c r="R16" i="7" s="1"/>
  <c r="AA76" i="16"/>
  <c r="AA140" i="16" s="1"/>
  <c r="Z141" i="16"/>
  <c r="AI297" i="16" l="1"/>
  <c r="AI298" i="16" s="1"/>
  <c r="AG151" i="16"/>
  <c r="AG152" i="16"/>
  <c r="AH223" i="16"/>
  <c r="AH222" i="16"/>
  <c r="AH81" i="17"/>
  <c r="AH82" i="17" s="1"/>
  <c r="Z32" i="8"/>
  <c r="Z30" i="8" s="1"/>
  <c r="Z6" i="8" s="1"/>
  <c r="Z8" i="8" s="1"/>
  <c r="Z21" i="8"/>
  <c r="V147" i="16"/>
  <c r="V211" i="16" s="1"/>
  <c r="V360" i="16" s="1"/>
  <c r="V19" i="2" s="1"/>
  <c r="V23" i="2" s="1"/>
  <c r="V148" i="16"/>
  <c r="U212" i="16"/>
  <c r="U361" i="16" s="1"/>
  <c r="S14" i="7" s="1"/>
  <c r="S16" i="7" s="1"/>
  <c r="AH224" i="16"/>
  <c r="AH225" i="16" s="1"/>
  <c r="AE72" i="16"/>
  <c r="AD363" i="16"/>
  <c r="R17" i="34"/>
  <c r="U37" i="2"/>
  <c r="R15" i="34"/>
  <c r="R22" i="34"/>
  <c r="AH149" i="16"/>
  <c r="AH150" i="16"/>
  <c r="AD5" i="16"/>
  <c r="X7" i="16"/>
  <c r="X69" i="16" s="1"/>
  <c r="W70" i="16"/>
  <c r="V148" i="17"/>
  <c r="T13" i="7" s="1"/>
  <c r="W80" i="17"/>
  <c r="X7" i="17"/>
  <c r="X69" i="17" s="1"/>
  <c r="W70" i="17"/>
  <c r="L13" i="10"/>
  <c r="K62" i="10"/>
  <c r="L28" i="7" s="1"/>
  <c r="AA9" i="7"/>
  <c r="AA23" i="8" s="1"/>
  <c r="AB16" i="15"/>
  <c r="AB19" i="15" s="1"/>
  <c r="AB78" i="17"/>
  <c r="W147" i="17"/>
  <c r="L47" i="8"/>
  <c r="C48" i="8" s="1"/>
  <c r="L14" i="8"/>
  <c r="X289" i="16"/>
  <c r="X353" i="16" s="1"/>
  <c r="W354" i="16"/>
  <c r="AA36" i="7"/>
  <c r="AE21" i="2"/>
  <c r="AC29" i="7" s="1"/>
  <c r="AI13" i="16"/>
  <c r="AI14" i="16"/>
  <c r="AI13" i="17"/>
  <c r="AI14" i="17" s="1"/>
  <c r="X218" i="16"/>
  <c r="X282" i="16" s="1"/>
  <c r="X219" i="16"/>
  <c r="W283" i="16"/>
  <c r="AA77" i="16"/>
  <c r="AG82" i="16"/>
  <c r="AG83" i="16"/>
  <c r="AG294" i="16"/>
  <c r="AG293" i="16"/>
  <c r="AH295" i="16"/>
  <c r="AH296" i="16" s="1"/>
  <c r="AH80" i="16"/>
  <c r="AH81" i="16"/>
  <c r="AB6" i="17"/>
  <c r="AF21" i="2" l="1"/>
  <c r="AD29" i="7" s="1"/>
  <c r="AI81" i="17"/>
  <c r="AI82" i="17"/>
  <c r="AI224" i="16"/>
  <c r="AI225" i="16"/>
  <c r="AI295" i="16"/>
  <c r="AI296" i="16"/>
  <c r="AH82" i="16"/>
  <c r="AH83" i="16"/>
  <c r="AI80" i="16"/>
  <c r="AI81" i="16"/>
  <c r="AA141" i="16"/>
  <c r="AB76" i="16"/>
  <c r="AB140" i="16" s="1"/>
  <c r="AB77" i="16"/>
  <c r="AC16" i="15"/>
  <c r="AC19" i="15" s="1"/>
  <c r="AB9" i="7"/>
  <c r="AB23" i="8" s="1"/>
  <c r="X79" i="17"/>
  <c r="X141" i="17" s="1"/>
  <c r="X147" i="17" s="1"/>
  <c r="X80" i="17"/>
  <c r="W142" i="17"/>
  <c r="W148" i="17"/>
  <c r="U13" i="7" s="1"/>
  <c r="X8" i="17"/>
  <c r="AH293" i="16"/>
  <c r="AH294" i="16"/>
  <c r="AC5" i="17"/>
  <c r="Y218" i="16"/>
  <c r="Y282" i="16" s="1"/>
  <c r="Y219" i="16"/>
  <c r="X283" i="16"/>
  <c r="AB36" i="7"/>
  <c r="AC77" i="17"/>
  <c r="AD6" i="16"/>
  <c r="W147" i="16"/>
  <c r="W211" i="16" s="1"/>
  <c r="W360" i="16" s="1"/>
  <c r="W19" i="2" s="1"/>
  <c r="W23" i="2" s="1"/>
  <c r="V212" i="16"/>
  <c r="V361" i="16" s="1"/>
  <c r="T14" i="7" s="1"/>
  <c r="AI222" i="16"/>
  <c r="AI223" i="16"/>
  <c r="S17" i="34"/>
  <c r="V37" i="2"/>
  <c r="S22" i="34"/>
  <c r="S15" i="34"/>
  <c r="AH151" i="16"/>
  <c r="AH152" i="16" s="1"/>
  <c r="X290" i="16"/>
  <c r="AA32" i="8"/>
  <c r="AA30" i="8" s="1"/>
  <c r="AA6" i="8" s="1"/>
  <c r="AA8" i="8" s="1"/>
  <c r="AA21" i="8"/>
  <c r="T16" i="7"/>
  <c r="AI149" i="16"/>
  <c r="AI150" i="16" s="1"/>
  <c r="L6" i="19"/>
  <c r="M13" i="10"/>
  <c r="L62" i="10"/>
  <c r="M28" i="7" s="1"/>
  <c r="X8" i="16"/>
  <c r="AF72" i="16"/>
  <c r="AE363" i="16"/>
  <c r="AG21" i="2" l="1"/>
  <c r="AE29" i="7" s="1"/>
  <c r="AI151" i="16"/>
  <c r="AI152" i="16" s="1"/>
  <c r="Z219" i="16"/>
  <c r="Z218" i="16"/>
  <c r="Z282" i="16" s="1"/>
  <c r="Y283" i="16"/>
  <c r="X354" i="16"/>
  <c r="Y289" i="16"/>
  <c r="Y353" i="16" s="1"/>
  <c r="N13" i="10"/>
  <c r="M62" i="10"/>
  <c r="N28" i="7" s="1"/>
  <c r="AE5" i="16"/>
  <c r="AE6" i="16"/>
  <c r="AB141" i="16"/>
  <c r="AC76" i="16"/>
  <c r="AC140" i="16" s="1"/>
  <c r="Y79" i="17"/>
  <c r="Y141" i="17" s="1"/>
  <c r="X142" i="17"/>
  <c r="AC78" i="17"/>
  <c r="AC6" i="17"/>
  <c r="AG72" i="16"/>
  <c r="AF363" i="16"/>
  <c r="AC36" i="7"/>
  <c r="AI293" i="16"/>
  <c r="AI294" i="16" s="1"/>
  <c r="AI82" i="16"/>
  <c r="AI83" i="16" s="1"/>
  <c r="Y7" i="16"/>
  <c r="Y69" i="16" s="1"/>
  <c r="X70" i="16"/>
  <c r="W148" i="16"/>
  <c r="AB32" i="8"/>
  <c r="AB30" i="8" s="1"/>
  <c r="AB6" i="8" s="1"/>
  <c r="AB8" i="8" s="1"/>
  <c r="M6" i="19"/>
  <c r="T22" i="34"/>
  <c r="T15" i="34"/>
  <c r="W37" i="2"/>
  <c r="Y7" i="17"/>
  <c r="Y69" i="17" s="1"/>
  <c r="Y147" i="17" s="1"/>
  <c r="X70" i="17"/>
  <c r="X148" i="17" s="1"/>
  <c r="V13" i="7" s="1"/>
  <c r="AD16" i="15"/>
  <c r="AD19" i="15" s="1"/>
  <c r="AC9" i="7"/>
  <c r="AC23" i="8" s="1"/>
  <c r="AH21" i="2" l="1"/>
  <c r="AF29" i="7" s="1"/>
  <c r="X147" i="16"/>
  <c r="X211" i="16" s="1"/>
  <c r="X360" i="16" s="1"/>
  <c r="X19" i="2" s="1"/>
  <c r="X23" i="2" s="1"/>
  <c r="W212" i="16"/>
  <c r="W361" i="16" s="1"/>
  <c r="U14" i="7" s="1"/>
  <c r="U16" i="7" s="1"/>
  <c r="T17" i="34" s="1"/>
  <c r="AC77" i="16"/>
  <c r="Y290" i="16"/>
  <c r="AD36" i="7"/>
  <c r="AF5" i="16"/>
  <c r="AD9" i="7"/>
  <c r="AD23" i="8" s="1"/>
  <c r="AE16" i="15"/>
  <c r="AE19" i="15" s="1"/>
  <c r="Y8" i="16"/>
  <c r="Y80" i="17"/>
  <c r="AA219" i="16"/>
  <c r="AA218" i="16"/>
  <c r="AA282" i="16" s="1"/>
  <c r="Z283" i="16"/>
  <c r="AC32" i="8"/>
  <c r="AC21" i="8"/>
  <c r="Y8" i="17"/>
  <c r="AD5" i="17"/>
  <c r="N6" i="19"/>
  <c r="AH72" i="16"/>
  <c r="AG363" i="16"/>
  <c r="AD77" i="17"/>
  <c r="N62" i="10"/>
  <c r="O28" i="7" s="1"/>
  <c r="O13" i="10"/>
  <c r="AI21" i="2" l="1"/>
  <c r="AG29" i="7"/>
  <c r="Z7" i="17"/>
  <c r="Z69" i="17" s="1"/>
  <c r="Z8" i="17"/>
  <c r="Y70" i="17"/>
  <c r="Z7" i="16"/>
  <c r="Z69" i="16" s="1"/>
  <c r="Z8" i="16"/>
  <c r="Y70" i="16"/>
  <c r="AF16" i="15"/>
  <c r="AF19" i="15" s="1"/>
  <c r="AE9" i="7"/>
  <c r="AE23" i="8" s="1"/>
  <c r="Z289" i="16"/>
  <c r="Z353" i="16" s="1"/>
  <c r="Y354" i="16"/>
  <c r="Z290" i="16"/>
  <c r="AD76" i="16"/>
  <c r="AD140" i="16" s="1"/>
  <c r="AC141" i="16"/>
  <c r="P13" i="10"/>
  <c r="O62" i="10"/>
  <c r="P28" i="7" s="1"/>
  <c r="AI72" i="16"/>
  <c r="AI363" i="16" s="1"/>
  <c r="AH363" i="16"/>
  <c r="O6" i="19"/>
  <c r="AF6" i="16"/>
  <c r="X148" i="16"/>
  <c r="U15" i="34"/>
  <c r="X37" i="2"/>
  <c r="U22" i="34"/>
  <c r="AA283" i="16"/>
  <c r="AB218" i="16"/>
  <c r="AB282" i="16" s="1"/>
  <c r="AB219" i="16"/>
  <c r="AD32" i="8"/>
  <c r="AD30" i="8" s="1"/>
  <c r="AD6" i="8" s="1"/>
  <c r="AD8" i="8" s="1"/>
  <c r="AD21" i="8"/>
  <c r="AD78" i="17"/>
  <c r="AD6" i="17"/>
  <c r="Z79" i="17"/>
  <c r="Z141" i="17" s="1"/>
  <c r="Z80" i="17"/>
  <c r="Y142" i="17"/>
  <c r="AE36" i="7"/>
  <c r="AF36" i="7" l="1"/>
  <c r="AC218" i="16"/>
  <c r="AC282" i="16" s="1"/>
  <c r="AB283" i="16"/>
  <c r="AA7" i="17"/>
  <c r="AA69" i="17" s="1"/>
  <c r="AA8" i="17"/>
  <c r="Z70" i="17"/>
  <c r="Z148" i="17" s="1"/>
  <c r="X13" i="7" s="1"/>
  <c r="P6" i="19"/>
  <c r="Z147" i="17"/>
  <c r="AE5" i="17"/>
  <c r="AE6" i="17"/>
  <c r="AG5" i="16"/>
  <c r="AG6" i="16"/>
  <c r="Q13" i="10"/>
  <c r="P62" i="10"/>
  <c r="Q28" i="7" s="1"/>
  <c r="AE78" i="17"/>
  <c r="AE77" i="17"/>
  <c r="AF9" i="7"/>
  <c r="AF23" i="8" s="1"/>
  <c r="AG16" i="15"/>
  <c r="AG19" i="15" s="1"/>
  <c r="AG9" i="7" s="1"/>
  <c r="AG23" i="8" s="1"/>
  <c r="AD77" i="16"/>
  <c r="AA7" i="16"/>
  <c r="AA69" i="16" s="1"/>
  <c r="AA8" i="16"/>
  <c r="Z70" i="16"/>
  <c r="AA290" i="16"/>
  <c r="AA289" i="16"/>
  <c r="AA353" i="16" s="1"/>
  <c r="Z354" i="16"/>
  <c r="Y148" i="17"/>
  <c r="W13" i="7" s="1"/>
  <c r="AA79" i="17"/>
  <c r="AA141" i="17" s="1"/>
  <c r="Z142" i="17"/>
  <c r="Y147" i="16"/>
  <c r="Y211" i="16" s="1"/>
  <c r="Y360" i="16" s="1"/>
  <c r="Y19" i="2" s="1"/>
  <c r="Y23" i="2" s="1"/>
  <c r="Y148" i="16"/>
  <c r="X212" i="16"/>
  <c r="X361" i="16" s="1"/>
  <c r="V14" i="7" s="1"/>
  <c r="V16" i="7" s="1"/>
  <c r="U17" i="34" s="1"/>
  <c r="AE32" i="8"/>
  <c r="AE30" i="8" s="1"/>
  <c r="AE6" i="8" s="1"/>
  <c r="AE8" i="8" s="1"/>
  <c r="AE21" i="8"/>
  <c r="W16" i="7" l="1"/>
  <c r="V17" i="34" s="1"/>
  <c r="AA354" i="16"/>
  <c r="AB289" i="16"/>
  <c r="AB353" i="16" s="1"/>
  <c r="AB290" i="16"/>
  <c r="R13" i="10"/>
  <c r="Q62" i="10"/>
  <c r="R28" i="7" s="1"/>
  <c r="AG32" i="8"/>
  <c r="AG30" i="8" s="1"/>
  <c r="AG6" i="8" s="1"/>
  <c r="AG8" i="8" s="1"/>
  <c r="AG21" i="8"/>
  <c r="Z147" i="16"/>
  <c r="Z211" i="16" s="1"/>
  <c r="Z360" i="16" s="1"/>
  <c r="Z19" i="2" s="1"/>
  <c r="Z23" i="2" s="1"/>
  <c r="Y212" i="16"/>
  <c r="Y361" i="16" s="1"/>
  <c r="W14" i="7" s="1"/>
  <c r="Z148" i="16"/>
  <c r="AH5" i="16"/>
  <c r="V15" i="34"/>
  <c r="Y37" i="2"/>
  <c r="V22" i="34"/>
  <c r="AF32" i="8"/>
  <c r="AF30" i="8" s="1"/>
  <c r="AF6" i="8" s="1"/>
  <c r="AF8" i="8" s="1"/>
  <c r="AF21" i="8"/>
  <c r="AB7" i="17"/>
  <c r="AB69" i="17" s="1"/>
  <c r="AA70" i="17"/>
  <c r="AF5" i="17"/>
  <c r="AF6" i="17"/>
  <c r="AA147" i="17"/>
  <c r="AA80" i="17"/>
  <c r="Q6" i="19"/>
  <c r="AC219" i="16"/>
  <c r="AB7" i="16"/>
  <c r="AB69" i="16" s="1"/>
  <c r="AB8" i="16"/>
  <c r="AA70" i="16"/>
  <c r="AF77" i="17"/>
  <c r="AD141" i="16"/>
  <c r="AE76" i="16"/>
  <c r="AE140" i="16" s="1"/>
  <c r="AE77" i="16"/>
  <c r="AG36" i="7"/>
  <c r="AD218" i="16" l="1"/>
  <c r="AD282" i="16" s="1"/>
  <c r="AC283" i="16"/>
  <c r="AH6" i="16"/>
  <c r="R6" i="19"/>
  <c r="Z212" i="16"/>
  <c r="Z361" i="16" s="1"/>
  <c r="X14" i="7" s="1"/>
  <c r="X16" i="7" s="1"/>
  <c r="AA147" i="16"/>
  <c r="AA211" i="16" s="1"/>
  <c r="AA360" i="16" s="1"/>
  <c r="AA19" i="2" s="1"/>
  <c r="AA23" i="2" s="1"/>
  <c r="AA148" i="16"/>
  <c r="R62" i="10"/>
  <c r="S28" i="7" s="1"/>
  <c r="S13" i="10"/>
  <c r="AF78" i="17"/>
  <c r="AB354" i="16"/>
  <c r="AC289" i="16"/>
  <c r="AC353" i="16" s="1"/>
  <c r="AB79" i="17"/>
  <c r="AB141" i="17" s="1"/>
  <c r="AB147" i="17" s="1"/>
  <c r="AA142" i="17"/>
  <c r="AA148" i="17" s="1"/>
  <c r="Y13" i="7" s="1"/>
  <c r="AB8" i="17"/>
  <c r="W22" i="34"/>
  <c r="W17" i="34"/>
  <c r="W15" i="34"/>
  <c r="Z37" i="2"/>
  <c r="AC7" i="16"/>
  <c r="AC69" i="16" s="1"/>
  <c r="AC8" i="16"/>
  <c r="AB70" i="16"/>
  <c r="AG5" i="17"/>
  <c r="AG6" i="17"/>
  <c r="AF76" i="16"/>
  <c r="AF140" i="16" s="1"/>
  <c r="AE141" i="16"/>
  <c r="T13" i="10" l="1"/>
  <c r="S62" i="10"/>
  <c r="T28" i="7" s="1"/>
  <c r="X15" i="34"/>
  <c r="AA37" i="2"/>
  <c r="X22" i="34"/>
  <c r="AD219" i="16"/>
  <c r="AI5" i="16"/>
  <c r="AB148" i="16"/>
  <c r="AA212" i="16"/>
  <c r="AA361" i="16" s="1"/>
  <c r="Y14" i="7" s="1"/>
  <c r="Y16" i="7" s="1"/>
  <c r="X17" i="34" s="1"/>
  <c r="AB147" i="16"/>
  <c r="AB211" i="16" s="1"/>
  <c r="AB360" i="16" s="1"/>
  <c r="AB19" i="2" s="1"/>
  <c r="AB23" i="2" s="1"/>
  <c r="AD7" i="16"/>
  <c r="AD69" i="16" s="1"/>
  <c r="AC70" i="16"/>
  <c r="AC290" i="16"/>
  <c r="AF77" i="16"/>
  <c r="AC7" i="17"/>
  <c r="AC69" i="17" s="1"/>
  <c r="AC8" i="17"/>
  <c r="AB70" i="17"/>
  <c r="AG77" i="17"/>
  <c r="AH5" i="17"/>
  <c r="AH6" i="17"/>
  <c r="AB80" i="17"/>
  <c r="S6" i="19"/>
  <c r="AF141" i="16" l="1"/>
  <c r="AG76" i="16"/>
  <c r="AG140" i="16" s="1"/>
  <c r="AC147" i="16"/>
  <c r="AC211" i="16" s="1"/>
  <c r="AC360" i="16" s="1"/>
  <c r="AC148" i="16"/>
  <c r="AB212" i="16"/>
  <c r="AB361" i="16" s="1"/>
  <c r="Z14" i="7" s="1"/>
  <c r="AC354" i="16"/>
  <c r="AD289" i="16"/>
  <c r="AD353" i="16" s="1"/>
  <c r="AG78" i="17"/>
  <c r="AI6" i="16"/>
  <c r="AD8" i="16"/>
  <c r="AE218" i="16"/>
  <c r="AE282" i="16" s="1"/>
  <c r="AE219" i="16"/>
  <c r="AD283" i="16"/>
  <c r="T6" i="19"/>
  <c r="AC79" i="17"/>
  <c r="AC141" i="17" s="1"/>
  <c r="AB142" i="17"/>
  <c r="AB148" i="17" s="1"/>
  <c r="Z13" i="7" s="1"/>
  <c r="Z16" i="7" s="1"/>
  <c r="Y17" i="34" s="1"/>
  <c r="AD7" i="17"/>
  <c r="AD69" i="17" s="1"/>
  <c r="AC70" i="17"/>
  <c r="U13" i="10"/>
  <c r="T62" i="10"/>
  <c r="U28" i="7" s="1"/>
  <c r="AI5" i="17"/>
  <c r="AI6" i="17"/>
  <c r="AC147" i="17"/>
  <c r="AB37" i="2"/>
  <c r="Y15" i="34"/>
  <c r="Y22" i="34"/>
  <c r="AD8" i="17" l="1"/>
  <c r="U6" i="19"/>
  <c r="U62" i="10"/>
  <c r="V28" i="7" s="1"/>
  <c r="V13" i="10"/>
  <c r="AH77" i="17"/>
  <c r="AD147" i="16"/>
  <c r="AD211" i="16" s="1"/>
  <c r="AD360" i="16" s="1"/>
  <c r="AD148" i="16"/>
  <c r="AC212" i="16"/>
  <c r="AC361" i="16" s="1"/>
  <c r="AA14" i="7" s="1"/>
  <c r="AC19" i="2"/>
  <c r="AC23" i="2" s="1"/>
  <c r="AE283" i="16"/>
  <c r="AF218" i="16"/>
  <c r="AF282" i="16" s="1"/>
  <c r="AF219" i="16"/>
  <c r="AE7" i="16"/>
  <c r="AE69" i="16" s="1"/>
  <c r="AE8" i="16"/>
  <c r="AD70" i="16"/>
  <c r="AG77" i="16"/>
  <c r="AC80" i="17"/>
  <c r="AD290" i="16"/>
  <c r="Z15" i="34" l="1"/>
  <c r="Z22" i="34"/>
  <c r="AC37" i="2"/>
  <c r="V6" i="19"/>
  <c r="AF7" i="16"/>
  <c r="AF69" i="16" s="1"/>
  <c r="AF8" i="16"/>
  <c r="AE70" i="16"/>
  <c r="AE147" i="16"/>
  <c r="AE211" i="16" s="1"/>
  <c r="AE360" i="16" s="1"/>
  <c r="AE148" i="16"/>
  <c r="AD212" i="16"/>
  <c r="AG218" i="16"/>
  <c r="AG282" i="16" s="1"/>
  <c r="AG219" i="16"/>
  <c r="AF283" i="16"/>
  <c r="AD79" i="17"/>
  <c r="AD141" i="17" s="1"/>
  <c r="AD147" i="17" s="1"/>
  <c r="AD80" i="17"/>
  <c r="AC142" i="17"/>
  <c r="AC148" i="17" s="1"/>
  <c r="AA13" i="7" s="1"/>
  <c r="AA16" i="7" s="1"/>
  <c r="Z17" i="34" s="1"/>
  <c r="AH77" i="16"/>
  <c r="AH76" i="16"/>
  <c r="AH140" i="16" s="1"/>
  <c r="AG141" i="16"/>
  <c r="W13" i="10"/>
  <c r="V62" i="10"/>
  <c r="W28" i="7" s="1"/>
  <c r="AD19" i="2"/>
  <c r="AD23" i="2" s="1"/>
  <c r="AE289" i="16"/>
  <c r="AE353" i="16" s="1"/>
  <c r="AD354" i="16"/>
  <c r="AD361" i="16" s="1"/>
  <c r="AB14" i="7" s="1"/>
  <c r="AE7" i="17"/>
  <c r="AE69" i="17" s="1"/>
  <c r="AE8" i="17"/>
  <c r="AD70" i="17"/>
  <c r="AH78" i="17"/>
  <c r="AF148" i="16" l="1"/>
  <c r="AE212" i="16"/>
  <c r="AF147" i="16"/>
  <c r="AF211" i="16" s="1"/>
  <c r="AI76" i="16"/>
  <c r="AI140" i="16" s="1"/>
  <c r="AJ140" i="16" s="1"/>
  <c r="AI77" i="16"/>
  <c r="AI141" i="16" s="1"/>
  <c r="AH141" i="16"/>
  <c r="AE290" i="16"/>
  <c r="W6" i="19"/>
  <c r="AA22" i="34"/>
  <c r="AA15" i="34"/>
  <c r="AD37" i="2"/>
  <c r="AA17" i="34"/>
  <c r="AG7" i="16"/>
  <c r="AG69" i="16" s="1"/>
  <c r="AF70" i="16"/>
  <c r="AF7" i="17"/>
  <c r="AF69" i="17" s="1"/>
  <c r="AE70" i="17"/>
  <c r="X13" i="10"/>
  <c r="W62" i="10"/>
  <c r="X28" i="7" s="1"/>
  <c r="AH218" i="16"/>
  <c r="AH282" i="16" s="1"/>
  <c r="AG283" i="16"/>
  <c r="AE79" i="17"/>
  <c r="AE141" i="17" s="1"/>
  <c r="AE147" i="17" s="1"/>
  <c r="AE19" i="2" s="1"/>
  <c r="AE23" i="2" s="1"/>
  <c r="AE80" i="17"/>
  <c r="AD142" i="17"/>
  <c r="AI78" i="17"/>
  <c r="AI77" i="17"/>
  <c r="AD148" i="17"/>
  <c r="AB13" i="7" s="1"/>
  <c r="AB16" i="7" s="1"/>
  <c r="AE37" i="2" l="1"/>
  <c r="AB22" i="34"/>
  <c r="AB15" i="34"/>
  <c r="X6" i="19"/>
  <c r="AF79" i="17"/>
  <c r="AF141" i="17" s="1"/>
  <c r="AF80" i="17"/>
  <c r="AE142" i="17"/>
  <c r="AE148" i="17" s="1"/>
  <c r="AC13" i="7" s="1"/>
  <c r="AC16" i="7" s="1"/>
  <c r="AB17" i="34" s="1"/>
  <c r="AF147" i="17"/>
  <c r="AF8" i="17"/>
  <c r="X62" i="10"/>
  <c r="Y28" i="7" s="1"/>
  <c r="Y13" i="10"/>
  <c r="AH219" i="16"/>
  <c r="AG8" i="16"/>
  <c r="AF212" i="16"/>
  <c r="AG147" i="16"/>
  <c r="AG211" i="16" s="1"/>
  <c r="AG148" i="16"/>
  <c r="AE354" i="16"/>
  <c r="AE361" i="16" s="1"/>
  <c r="AC14" i="7" s="1"/>
  <c r="AF289" i="16"/>
  <c r="AF353" i="16" s="1"/>
  <c r="AF360" i="16" s="1"/>
  <c r="AF19" i="2" s="1"/>
  <c r="AF23" i="2" s="1"/>
  <c r="AG7" i="17" l="1"/>
  <c r="AG69" i="17" s="1"/>
  <c r="AG8" i="17"/>
  <c r="AF70" i="17"/>
  <c r="AH7" i="16"/>
  <c r="AH69" i="16" s="1"/>
  <c r="AH8" i="16"/>
  <c r="AG70" i="16"/>
  <c r="AI218" i="16"/>
  <c r="AI282" i="16" s="1"/>
  <c r="AJ282" i="16" s="1"/>
  <c r="AI219" i="16"/>
  <c r="AI283" i="16" s="1"/>
  <c r="AH283" i="16"/>
  <c r="AF290" i="16"/>
  <c r="AF37" i="2"/>
  <c r="AC22" i="34"/>
  <c r="AC15" i="34"/>
  <c r="AG79" i="17"/>
  <c r="AG141" i="17" s="1"/>
  <c r="AF142" i="17"/>
  <c r="AG212" i="16"/>
  <c r="AH147" i="16"/>
  <c r="AH211" i="16" s="1"/>
  <c r="AH148" i="16"/>
  <c r="Z13" i="10"/>
  <c r="Y62" i="10"/>
  <c r="Z28" i="7" s="1"/>
  <c r="Y6" i="19"/>
  <c r="AI7" i="16" l="1"/>
  <c r="AI69" i="16" s="1"/>
  <c r="AH70" i="16"/>
  <c r="AH7" i="17"/>
  <c r="AH69" i="17" s="1"/>
  <c r="AG70" i="17"/>
  <c r="Z6" i="19"/>
  <c r="AI147" i="16"/>
  <c r="AI211" i="16" s="1"/>
  <c r="AJ211" i="16" s="1"/>
  <c r="AI148" i="16"/>
  <c r="AI212" i="16" s="1"/>
  <c r="AH212" i="16"/>
  <c r="AF148" i="17"/>
  <c r="AD13" i="7" s="1"/>
  <c r="AD16" i="7" s="1"/>
  <c r="AC17" i="34" s="1"/>
  <c r="AG289" i="16"/>
  <c r="AG353" i="16" s="1"/>
  <c r="AG360" i="16" s="1"/>
  <c r="AG19" i="2" s="1"/>
  <c r="AG23" i="2" s="1"/>
  <c r="AF354" i="16"/>
  <c r="AF361" i="16" s="1"/>
  <c r="AD14" i="7" s="1"/>
  <c r="AG80" i="17"/>
  <c r="AG147" i="17"/>
  <c r="AA13" i="10"/>
  <c r="Z62" i="10"/>
  <c r="AA28" i="7" s="1"/>
  <c r="AG37" i="2" l="1"/>
  <c r="AD22" i="34"/>
  <c r="AD15" i="34"/>
  <c r="AG290" i="16"/>
  <c r="AB13" i="10"/>
  <c r="AA62" i="10"/>
  <c r="AB28" i="7" s="1"/>
  <c r="AA6" i="19"/>
  <c r="AH8" i="17"/>
  <c r="AH79" i="17"/>
  <c r="AH141" i="17" s="1"/>
  <c r="AH147" i="17" s="1"/>
  <c r="AG142" i="17"/>
  <c r="AG148" i="17" s="1"/>
  <c r="AE13" i="7" s="1"/>
  <c r="AJ69" i="16"/>
  <c r="AI8" i="16"/>
  <c r="AI70" i="16" s="1"/>
  <c r="AB6" i="19" l="1"/>
  <c r="AC13" i="10"/>
  <c r="AB62" i="10"/>
  <c r="AC28" i="7" s="1"/>
  <c r="AH80" i="17"/>
  <c r="AI7" i="17"/>
  <c r="AI69" i="17" s="1"/>
  <c r="AH70" i="17"/>
  <c r="AH289" i="16"/>
  <c r="AH353" i="16" s="1"/>
  <c r="AH360" i="16" s="1"/>
  <c r="AH19" i="2" s="1"/>
  <c r="AH23" i="2" s="1"/>
  <c r="AG354" i="16"/>
  <c r="AG361" i="16" s="1"/>
  <c r="AE14" i="7" s="1"/>
  <c r="AE16" i="7" s="1"/>
  <c r="AD17" i="34" s="1"/>
  <c r="AJ69" i="17" l="1"/>
  <c r="AI79" i="17"/>
  <c r="AI141" i="17" s="1"/>
  <c r="AJ141" i="17" s="1"/>
  <c r="AI80" i="17"/>
  <c r="AI142" i="17" s="1"/>
  <c r="AH142" i="17"/>
  <c r="AH148" i="17" s="1"/>
  <c r="AF13" i="7" s="1"/>
  <c r="AC6" i="19"/>
  <c r="AD13" i="10"/>
  <c r="AC62" i="10"/>
  <c r="AD28" i="7" s="1"/>
  <c r="AI8" i="17"/>
  <c r="AI70" i="17" s="1"/>
  <c r="AE15" i="34"/>
  <c r="AE22" i="34"/>
  <c r="AH37" i="2"/>
  <c r="AH290" i="16"/>
  <c r="AI148" i="17" l="1"/>
  <c r="AG13" i="7" s="1"/>
  <c r="AD6" i="19"/>
  <c r="AI147" i="17"/>
  <c r="AJ147" i="17"/>
  <c r="AJ154" i="17" s="1"/>
  <c r="AH354" i="16"/>
  <c r="AH361" i="16" s="1"/>
  <c r="AF14" i="7" s="1"/>
  <c r="AF16" i="7" s="1"/>
  <c r="AE17" i="34" s="1"/>
  <c r="AI289" i="16"/>
  <c r="AI353" i="16" s="1"/>
  <c r="AE13" i="10"/>
  <c r="AD62" i="10"/>
  <c r="AE28" i="7" s="1"/>
  <c r="AJ353" i="16" l="1"/>
  <c r="AJ360" i="16" s="1"/>
  <c r="AI360" i="16"/>
  <c r="AI19" i="2" s="1"/>
  <c r="AI23" i="2" s="1"/>
  <c r="AE6" i="19"/>
  <c r="AF13" i="10"/>
  <c r="AE62" i="10"/>
  <c r="AF28" i="7" s="1"/>
  <c r="AI290" i="16"/>
  <c r="AI354" i="16" s="1"/>
  <c r="AI361" i="16" s="1"/>
  <c r="AG14" i="7" s="1"/>
  <c r="AG16" i="7" s="1"/>
  <c r="AG13" i="10" l="1"/>
  <c r="AF62" i="10"/>
  <c r="AG28" i="7" s="1"/>
  <c r="AF6" i="19"/>
  <c r="AF22" i="34"/>
  <c r="AF15" i="34"/>
  <c r="AI37" i="2"/>
  <c r="AF17" i="34"/>
  <c r="AG6" i="19" l="1"/>
  <c r="AG62" i="10"/>
  <c r="AH13" i="10"/>
  <c r="AI13" i="10" l="1"/>
  <c r="AI62" i="10" s="1"/>
  <c r="AH62" i="10"/>
  <c r="S43" i="7"/>
  <c r="S41" i="7"/>
  <c r="W43" i="7"/>
  <c r="W41" i="7"/>
  <c r="T7" i="29"/>
  <c r="T38" i="29"/>
  <c r="X19" i="34"/>
  <c r="X16" i="34"/>
  <c r="Y18" i="7"/>
  <c r="H37" i="29"/>
  <c r="H36" i="29"/>
  <c r="T12" i="8"/>
  <c r="V28" i="2"/>
  <c r="V38" i="2"/>
  <c r="V34" i="2"/>
  <c r="V36" i="2"/>
  <c r="AB19" i="34"/>
  <c r="AB16" i="34"/>
  <c r="AC18" i="7"/>
  <c r="N65" i="29"/>
  <c r="N64" i="29"/>
  <c r="Z29" i="29"/>
  <c r="Z27" i="29"/>
  <c r="AA32" i="2"/>
  <c r="W31" i="2"/>
  <c r="L12" i="8"/>
  <c r="N28" i="2"/>
  <c r="N38" i="2"/>
  <c r="N34" i="2"/>
  <c r="N36" i="2"/>
  <c r="AF31" i="7"/>
  <c r="I17" i="29"/>
  <c r="I13" i="29"/>
  <c r="L29" i="29"/>
  <c r="L27" i="29"/>
  <c r="AE32" i="2"/>
  <c r="AA31" i="2"/>
  <c r="S7" i="29"/>
  <c r="S38" i="29"/>
  <c r="O31" i="7"/>
  <c r="Q65" i="29"/>
  <c r="Q64" i="29"/>
  <c r="AH36" i="2"/>
  <c r="AH34" i="2"/>
  <c r="AH38" i="2"/>
  <c r="AH28" i="2"/>
  <c r="AF12" i="8"/>
  <c r="T49" i="8"/>
  <c r="T3" i="19"/>
  <c r="AA33" i="2"/>
  <c r="J19" i="34"/>
  <c r="J16" i="34"/>
  <c r="K18" i="7"/>
  <c r="K43" i="7"/>
  <c r="K41" i="7"/>
  <c r="P43" i="7"/>
  <c r="P41" i="7"/>
  <c r="E43" i="7"/>
  <c r="E41" i="7"/>
  <c r="H43" i="7"/>
  <c r="H41" i="7"/>
  <c r="AB6" i="34"/>
  <c r="AC11" i="7"/>
  <c r="AB5" i="34"/>
  <c r="AG43" i="7"/>
  <c r="AG41" i="7"/>
  <c r="H21" i="8"/>
  <c r="R43" i="7"/>
  <c r="R41" i="7"/>
  <c r="R49" i="8"/>
  <c r="R3" i="19"/>
  <c r="G19" i="34"/>
  <c r="G16" i="34"/>
  <c r="H18" i="7"/>
  <c r="P12" i="8"/>
  <c r="R28" i="2"/>
  <c r="R38" i="2"/>
  <c r="R34" i="2"/>
  <c r="R36" i="2"/>
  <c r="M43" i="7"/>
  <c r="M41" i="7"/>
  <c r="N4" i="34"/>
  <c r="F9" i="29"/>
  <c r="G44" i="29"/>
  <c r="S37" i="29"/>
  <c r="S26" i="29"/>
  <c r="S28" i="29"/>
  <c r="S36" i="29"/>
  <c r="AF17" i="29"/>
  <c r="AF13" i="29"/>
  <c r="N37" i="29"/>
  <c r="N36" i="29"/>
  <c r="T65" i="29"/>
  <c r="T64" i="29"/>
  <c r="AB36" i="2"/>
  <c r="AB34" i="2"/>
  <c r="AB38" i="2"/>
  <c r="AB28" i="2"/>
  <c r="Z12" i="8"/>
  <c r="W3" i="19"/>
  <c r="W49" i="8"/>
  <c r="C44" i="8"/>
  <c r="C43" i="8"/>
  <c r="C42" i="8"/>
  <c r="Q31" i="7"/>
  <c r="AF9" i="29"/>
  <c r="AF11" i="8"/>
  <c r="AF15" i="8"/>
  <c r="AF19" i="8"/>
  <c r="AF5" i="29"/>
  <c r="AG44" i="29"/>
  <c r="AE31" i="7"/>
  <c r="Y11" i="34"/>
  <c r="Z7" i="19"/>
  <c r="Y38" i="7"/>
  <c r="Z37" i="7"/>
  <c r="Z39" i="7"/>
  <c r="Y10" i="34"/>
  <c r="V32" i="2"/>
  <c r="R31" i="2"/>
  <c r="E44" i="8"/>
  <c r="D24" i="34"/>
  <c r="D9" i="34"/>
  <c r="F11" i="8"/>
  <c r="F15" i="8"/>
  <c r="F19" i="8"/>
  <c r="F5" i="29"/>
  <c r="F13" i="29"/>
  <c r="F17" i="29"/>
  <c r="AF43" i="7"/>
  <c r="AF41" i="7"/>
  <c r="J44" i="29"/>
  <c r="H28" i="8"/>
  <c r="I37" i="8"/>
  <c r="I30" i="8"/>
  <c r="I6" i="8"/>
  <c r="I8" i="8"/>
  <c r="I15" i="8"/>
  <c r="I19" i="8"/>
  <c r="I5" i="29"/>
  <c r="I9" i="29"/>
  <c r="D18" i="7"/>
  <c r="C16" i="34"/>
  <c r="C19" i="34"/>
  <c r="AE7" i="29"/>
  <c r="AE38" i="29"/>
  <c r="T7" i="19"/>
  <c r="S11" i="34"/>
  <c r="S10" i="34"/>
  <c r="Q7" i="29"/>
  <c r="Q38" i="29"/>
  <c r="V43" i="7"/>
  <c r="V41" i="7"/>
  <c r="C51" i="29"/>
  <c r="AG11" i="29"/>
  <c r="C9" i="29"/>
  <c r="C11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V11" i="29"/>
  <c r="W11" i="29"/>
  <c r="X11" i="29"/>
  <c r="Y11" i="29"/>
  <c r="Z11" i="29"/>
  <c r="AA11" i="29"/>
  <c r="AB11" i="29"/>
  <c r="AC11" i="29"/>
  <c r="AD11" i="29"/>
  <c r="AE11" i="29"/>
  <c r="AF11" i="29"/>
  <c r="R17" i="29"/>
  <c r="R13" i="29"/>
  <c r="O7" i="29"/>
  <c r="O38" i="29"/>
  <c r="AA12" i="8"/>
  <c r="AC28" i="2"/>
  <c r="AC38" i="2"/>
  <c r="AC34" i="2"/>
  <c r="AC36" i="2"/>
  <c r="T19" i="34"/>
  <c r="T16" i="34"/>
  <c r="U18" i="7"/>
  <c r="M21" i="8"/>
  <c r="P19" i="34"/>
  <c r="P16" i="34"/>
  <c r="Q18" i="7"/>
  <c r="M9" i="29"/>
  <c r="N44" i="29"/>
  <c r="W44" i="8"/>
  <c r="V9" i="34"/>
  <c r="V24" i="34"/>
  <c r="X65" i="29"/>
  <c r="X64" i="29"/>
  <c r="AD32" i="2"/>
  <c r="Z31" i="2"/>
  <c r="AC31" i="7"/>
  <c r="G43" i="7"/>
  <c r="G41" i="7"/>
  <c r="AB44" i="29"/>
  <c r="AA9" i="29"/>
  <c r="I19" i="34"/>
  <c r="I16" i="34"/>
  <c r="J18" i="7"/>
  <c r="S25" i="34"/>
  <c r="AI32" i="2"/>
  <c r="AE31" i="2"/>
  <c r="P37" i="29"/>
  <c r="P36" i="29"/>
  <c r="S38" i="7"/>
  <c r="T37" i="7"/>
  <c r="T39" i="7"/>
  <c r="T27" i="29"/>
  <c r="T29" i="29"/>
  <c r="H6" i="34"/>
  <c r="H5" i="34"/>
  <c r="Y17" i="29"/>
  <c r="Y13" i="29"/>
  <c r="C4" i="34"/>
  <c r="AA11" i="8"/>
  <c r="AA15" i="8"/>
  <c r="AA19" i="8"/>
  <c r="AA5" i="29"/>
  <c r="AA13" i="29"/>
  <c r="AA17" i="29"/>
  <c r="X18" i="7"/>
  <c r="W16" i="34"/>
  <c r="W19" i="34"/>
  <c r="H12" i="8"/>
  <c r="J36" i="2"/>
  <c r="J34" i="2"/>
  <c r="J38" i="2"/>
  <c r="J28" i="2"/>
  <c r="L37" i="29"/>
  <c r="L36" i="29"/>
  <c r="I6" i="34"/>
  <c r="J11" i="7"/>
  <c r="I5" i="34"/>
  <c r="AB43" i="7"/>
  <c r="AB41" i="7"/>
  <c r="J17" i="29"/>
  <c r="J13" i="29"/>
  <c r="AD31" i="7"/>
  <c r="AC30" i="7"/>
  <c r="AD30" i="7"/>
  <c r="AE30" i="7"/>
  <c r="AF30" i="7"/>
  <c r="AG30" i="7"/>
  <c r="AG31" i="7"/>
  <c r="K10" i="34"/>
  <c r="L7" i="19"/>
  <c r="K38" i="7"/>
  <c r="L37" i="7"/>
  <c r="L39" i="7"/>
  <c r="K11" i="34"/>
  <c r="AC17" i="29"/>
  <c r="AC13" i="29"/>
  <c r="R24" i="34"/>
  <c r="S44" i="8"/>
  <c r="S26" i="7"/>
  <c r="S33" i="7"/>
  <c r="R9" i="34"/>
  <c r="AF65" i="29"/>
  <c r="AF64" i="29"/>
  <c r="T4" i="34"/>
  <c r="G5" i="34"/>
  <c r="H11" i="7"/>
  <c r="G6" i="34"/>
  <c r="M36" i="2"/>
  <c r="M34" i="2"/>
  <c r="M38" i="2"/>
  <c r="M28" i="2"/>
  <c r="K12" i="8"/>
  <c r="J32" i="2"/>
  <c r="F31" i="2"/>
  <c r="W4" i="34"/>
  <c r="H4" i="34"/>
  <c r="R7" i="29"/>
  <c r="R38" i="29"/>
  <c r="O9" i="29"/>
  <c r="P44" i="29"/>
  <c r="U65" i="29"/>
  <c r="U64" i="29"/>
  <c r="E3" i="19"/>
  <c r="E49" i="8"/>
  <c r="G4" i="34"/>
  <c r="J10" i="34"/>
  <c r="J11" i="34"/>
  <c r="K7" i="19"/>
  <c r="AC19" i="34"/>
  <c r="AC16" i="34"/>
  <c r="AD18" i="7"/>
  <c r="Z37" i="29"/>
  <c r="Z36" i="29"/>
  <c r="C6" i="34"/>
  <c r="D11" i="7"/>
  <c r="C5" i="34"/>
  <c r="H44" i="8"/>
  <c r="G24" i="34"/>
  <c r="G9" i="34"/>
  <c r="R31" i="7"/>
  <c r="O11" i="8"/>
  <c r="O15" i="8"/>
  <c r="O19" i="8"/>
  <c r="O5" i="29"/>
  <c r="O13" i="29"/>
  <c r="O17" i="29"/>
  <c r="V65" i="29"/>
  <c r="V64" i="29"/>
  <c r="AF32" i="2"/>
  <c r="AB31" i="2"/>
  <c r="K17" i="29"/>
  <c r="K13" i="29"/>
  <c r="J12" i="8"/>
  <c r="L36" i="2"/>
  <c r="L34" i="2"/>
  <c r="L38" i="2"/>
  <c r="L28" i="2"/>
  <c r="E37" i="29"/>
  <c r="E36" i="29"/>
  <c r="O9" i="34"/>
  <c r="O24" i="34"/>
  <c r="P44" i="8"/>
  <c r="AA7" i="29"/>
  <c r="AA38" i="29"/>
  <c r="V7" i="29"/>
  <c r="V38" i="29"/>
  <c r="J37" i="29"/>
  <c r="J36" i="29"/>
  <c r="K7" i="29"/>
  <c r="K38" i="29"/>
  <c r="AG65" i="29"/>
  <c r="AG64" i="29"/>
  <c r="M37" i="29"/>
  <c r="M36" i="29"/>
  <c r="Q24" i="34"/>
  <c r="R44" i="8"/>
  <c r="Q9" i="34"/>
  <c r="F33" i="2"/>
  <c r="R9" i="29"/>
  <c r="R11" i="8"/>
  <c r="R15" i="8"/>
  <c r="R19" i="8"/>
  <c r="R5" i="29"/>
  <c r="S44" i="29"/>
  <c r="T6" i="34"/>
  <c r="U11" i="7"/>
  <c r="T5" i="34"/>
  <c r="Z9" i="34"/>
  <c r="AA44" i="8"/>
  <c r="Z24" i="34"/>
  <c r="Y19" i="34"/>
  <c r="Y16" i="34"/>
  <c r="Z18" i="7"/>
  <c r="Q4" i="34"/>
  <c r="N49" i="8"/>
  <c r="N3" i="19"/>
  <c r="Z36" i="2"/>
  <c r="Z34" i="2"/>
  <c r="Z38" i="2"/>
  <c r="Z28" i="2"/>
  <c r="X12" i="8"/>
  <c r="K36" i="2"/>
  <c r="K34" i="2"/>
  <c r="K38" i="2"/>
  <c r="K28" i="2"/>
  <c r="I12" i="8"/>
  <c r="AG36" i="2"/>
  <c r="AG34" i="2"/>
  <c r="AG38" i="2"/>
  <c r="AG28" i="2"/>
  <c r="AE12" i="8"/>
  <c r="L24" i="34"/>
  <c r="L9" i="34"/>
  <c r="M44" i="8"/>
  <c r="F65" i="29"/>
  <c r="F64" i="29"/>
  <c r="AD44" i="29"/>
  <c r="AC37" i="8"/>
  <c r="AC30" i="8"/>
  <c r="AC6" i="8"/>
  <c r="AC8" i="8"/>
  <c r="AC15" i="8"/>
  <c r="AC19" i="8"/>
  <c r="AC5" i="29"/>
  <c r="AC9" i="29"/>
  <c r="E22" i="7"/>
  <c r="E26" i="7"/>
  <c r="E33" i="7"/>
  <c r="E26" i="29"/>
  <c r="E28" i="29"/>
  <c r="E38" i="29"/>
  <c r="E7" i="29"/>
  <c r="U9" i="34"/>
  <c r="U24" i="34"/>
  <c r="V44" i="8"/>
  <c r="Y7" i="29"/>
  <c r="Y38" i="29"/>
  <c r="AI31" i="2"/>
  <c r="AI33" i="2"/>
  <c r="K44" i="29"/>
  <c r="J11" i="8"/>
  <c r="J15" i="8"/>
  <c r="J19" i="8"/>
  <c r="J5" i="29"/>
  <c r="J9" i="29"/>
  <c r="Z49" i="8"/>
  <c r="Z3" i="19"/>
  <c r="H19" i="34"/>
  <c r="I11" i="7"/>
  <c r="I18" i="7"/>
  <c r="H16" i="34"/>
  <c r="Z17" i="29"/>
  <c r="Z13" i="29"/>
  <c r="I11" i="8"/>
  <c r="U17" i="29"/>
  <c r="U13" i="29"/>
  <c r="J31" i="7"/>
  <c r="D3" i="19"/>
  <c r="D49" i="8"/>
  <c r="C43" i="7"/>
  <c r="C41" i="7"/>
  <c r="AC29" i="29"/>
  <c r="AC27" i="29"/>
  <c r="S36" i="2"/>
  <c r="S34" i="2"/>
  <c r="S38" i="2"/>
  <c r="S28" i="2"/>
  <c r="Q12" i="8"/>
  <c r="AE7" i="19"/>
  <c r="AD11" i="34"/>
  <c r="AD10" i="34"/>
  <c r="AB4" i="34"/>
  <c r="H65" i="29"/>
  <c r="H64" i="29"/>
  <c r="E17" i="29"/>
  <c r="E13" i="29"/>
  <c r="F29" i="29"/>
  <c r="F27" i="29"/>
  <c r="I31" i="7"/>
  <c r="Z65" i="29"/>
  <c r="Z64" i="29"/>
  <c r="Y37" i="29"/>
  <c r="Y26" i="29"/>
  <c r="Y28" i="29"/>
  <c r="Y36" i="29"/>
  <c r="AC65" i="29"/>
  <c r="AC64" i="29"/>
  <c r="X32" i="2"/>
  <c r="T31" i="2"/>
  <c r="C10" i="34"/>
  <c r="D7" i="19"/>
  <c r="C11" i="34"/>
  <c r="S3" i="19"/>
  <c r="S22" i="7"/>
  <c r="S49" i="8"/>
  <c r="AD17" i="29"/>
  <c r="AD13" i="29"/>
  <c r="V49" i="8"/>
  <c r="V3" i="19"/>
  <c r="X4" i="34"/>
  <c r="R10" i="34"/>
  <c r="R11" i="34"/>
  <c r="S7" i="19"/>
  <c r="AD38" i="7"/>
  <c r="AE37" i="7"/>
  <c r="AE39" i="7"/>
  <c r="AE27" i="29"/>
  <c r="AE29" i="29"/>
  <c r="AD4" i="34"/>
  <c r="AC43" i="7"/>
  <c r="AC41" i="7"/>
  <c r="O65" i="29"/>
  <c r="O64" i="29"/>
  <c r="I4" i="34"/>
  <c r="AE3" i="19"/>
  <c r="AE49" i="8"/>
  <c r="X17" i="29"/>
  <c r="X13" i="29"/>
  <c r="I25" i="34"/>
  <c r="P5" i="34"/>
  <c r="Q11" i="7"/>
  <c r="P6" i="34"/>
  <c r="Z9" i="29"/>
  <c r="Z11" i="8"/>
  <c r="Z15" i="8"/>
  <c r="Z19" i="8"/>
  <c r="Z5" i="29"/>
  <c r="AA44" i="29"/>
  <c r="I37" i="29"/>
  <c r="I36" i="29"/>
  <c r="Q25" i="34"/>
  <c r="AG12" i="8"/>
  <c r="AI28" i="2"/>
  <c r="AI36" i="2"/>
  <c r="AI34" i="2"/>
  <c r="AI38" i="2"/>
  <c r="W37" i="29"/>
  <c r="W36" i="29"/>
  <c r="J38" i="7"/>
  <c r="K37" i="7"/>
  <c r="K39" i="7"/>
  <c r="K27" i="29"/>
  <c r="K29" i="29"/>
  <c r="R32" i="2"/>
  <c r="N31" i="2"/>
  <c r="AB17" i="29"/>
  <c r="AB13" i="29"/>
  <c r="M24" i="34"/>
  <c r="M9" i="34"/>
  <c r="N44" i="8"/>
  <c r="AA41" i="7"/>
  <c r="AA43" i="7"/>
  <c r="D37" i="7"/>
  <c r="D39" i="7"/>
  <c r="D27" i="29"/>
  <c r="D29" i="29"/>
  <c r="R21" i="8"/>
  <c r="AD9" i="29"/>
  <c r="AD11" i="8"/>
  <c r="AD15" i="8"/>
  <c r="AD19" i="8"/>
  <c r="AD5" i="29"/>
  <c r="AE44" i="29"/>
  <c r="E36" i="2"/>
  <c r="E34" i="2"/>
  <c r="E38" i="2"/>
  <c r="E28" i="2"/>
  <c r="C12" i="8"/>
  <c r="K4" i="34"/>
  <c r="R38" i="7"/>
  <c r="S37" i="7"/>
  <c r="S39" i="7"/>
  <c r="S27" i="29"/>
  <c r="S29" i="29"/>
  <c r="AD37" i="29"/>
  <c r="AD36" i="29"/>
  <c r="M7" i="29"/>
  <c r="M26" i="7"/>
  <c r="M33" i="7"/>
  <c r="M26" i="29"/>
  <c r="M28" i="29"/>
  <c r="M38" i="29"/>
  <c r="F4" i="34"/>
  <c r="D19" i="34"/>
  <c r="D16" i="34"/>
  <c r="E18" i="7"/>
  <c r="E65" i="29"/>
  <c r="E64" i="29"/>
  <c r="AB65" i="29"/>
  <c r="AB64" i="29"/>
  <c r="O49" i="8"/>
  <c r="O3" i="19"/>
  <c r="G7" i="29"/>
  <c r="G38" i="29"/>
  <c r="L29" i="2"/>
  <c r="J64" i="29"/>
  <c r="J65" i="29"/>
  <c r="X6" i="34"/>
  <c r="Y11" i="7"/>
  <c r="X5" i="34"/>
  <c r="AC4" i="34"/>
  <c r="T29" i="2"/>
  <c r="R64" i="29"/>
  <c r="R65" i="29"/>
  <c r="AF29" i="29"/>
  <c r="AF27" i="29"/>
  <c r="N41" i="7"/>
  <c r="N43" i="7"/>
  <c r="J5" i="34"/>
  <c r="K11" i="7"/>
  <c r="J6" i="34"/>
  <c r="AA26" i="7"/>
  <c r="AA33" i="7"/>
  <c r="AA26" i="29"/>
  <c r="AA28" i="29"/>
  <c r="AA36" i="29"/>
  <c r="AA37" i="29"/>
  <c r="D7" i="29"/>
  <c r="D38" i="29"/>
  <c r="F6" i="34"/>
  <c r="F5" i="34"/>
  <c r="J25" i="34"/>
  <c r="R19" i="34"/>
  <c r="R16" i="34"/>
  <c r="S18" i="7"/>
  <c r="AA3" i="19"/>
  <c r="AA22" i="7"/>
  <c r="AA49" i="8"/>
  <c r="W7" i="29"/>
  <c r="W22" i="7"/>
  <c r="W26" i="7"/>
  <c r="W33" i="7"/>
  <c r="W26" i="29"/>
  <c r="W28" i="29"/>
  <c r="W38" i="29"/>
  <c r="J33" i="2"/>
  <c r="I26" i="29"/>
  <c r="I28" i="29"/>
  <c r="I38" i="29"/>
  <c r="I7" i="29"/>
  <c r="M29" i="2"/>
  <c r="K64" i="29"/>
  <c r="K65" i="29"/>
  <c r="C49" i="8"/>
  <c r="C3" i="19"/>
  <c r="W33" i="2"/>
  <c r="W17" i="29"/>
  <c r="W13" i="29"/>
  <c r="AE17" i="29"/>
  <c r="AE13" i="29"/>
  <c r="Y29" i="29"/>
  <c r="Y27" i="29"/>
  <c r="J4" i="34"/>
  <c r="AD5" i="34"/>
  <c r="AD6" i="34"/>
  <c r="O29" i="29"/>
  <c r="O27" i="29"/>
  <c r="AB25" i="7"/>
  <c r="AB28" i="8"/>
  <c r="AB21" i="8"/>
  <c r="Y65" i="29"/>
  <c r="Y64" i="29"/>
  <c r="B25" i="34"/>
  <c r="C49" i="29"/>
  <c r="AG9" i="29"/>
  <c r="AF37" i="29"/>
  <c r="AF36" i="29"/>
  <c r="P32" i="2"/>
  <c r="L31" i="2"/>
  <c r="Y31" i="7"/>
  <c r="L4" i="34"/>
  <c r="S17" i="29"/>
  <c r="S13" i="29"/>
  <c r="AB9" i="29"/>
  <c r="AB11" i="8"/>
  <c r="AB15" i="8"/>
  <c r="AB19" i="8"/>
  <c r="AB5" i="29"/>
  <c r="AC44" i="29"/>
  <c r="Y12" i="8"/>
  <c r="AA28" i="2"/>
  <c r="AA36" i="2"/>
  <c r="AA34" i="2"/>
  <c r="AA38" i="2"/>
  <c r="J31" i="2"/>
  <c r="N32" i="2"/>
  <c r="AG17" i="29"/>
  <c r="AG11" i="8"/>
  <c r="AG15" i="8"/>
  <c r="AG19" i="8"/>
  <c r="AG5" i="29"/>
  <c r="AG13" i="29"/>
  <c r="S19" i="34"/>
  <c r="S16" i="34"/>
  <c r="T18" i="7"/>
  <c r="W44" i="29"/>
  <c r="V9" i="29"/>
  <c r="AA29" i="29"/>
  <c r="AA27" i="29"/>
  <c r="AB30" i="7"/>
  <c r="AB31" i="7"/>
  <c r="Q7" i="19"/>
  <c r="P11" i="34"/>
  <c r="P10" i="34"/>
  <c r="AF19" i="34"/>
  <c r="AF16" i="34"/>
  <c r="AG18" i="7"/>
  <c r="AD29" i="29"/>
  <c r="AD27" i="29"/>
  <c r="Q36" i="2"/>
  <c r="Q34" i="2"/>
  <c r="Q38" i="2"/>
  <c r="Q28" i="2"/>
  <c r="O12" i="8"/>
  <c r="G11" i="7"/>
  <c r="G18" i="7"/>
  <c r="F16" i="34"/>
  <c r="F19" i="34"/>
  <c r="R6" i="34"/>
  <c r="S11" i="7"/>
  <c r="R5" i="34"/>
  <c r="AC5" i="34"/>
  <c r="AD11" i="7"/>
  <c r="AC6" i="34"/>
  <c r="M12" i="8"/>
  <c r="O28" i="2"/>
  <c r="O36" i="2"/>
  <c r="O34" i="2"/>
  <c r="O38" i="2"/>
  <c r="AG49" i="8"/>
  <c r="AG3" i="19"/>
  <c r="M49" i="8"/>
  <c r="M22" i="7"/>
  <c r="M3" i="19"/>
  <c r="X24" i="34"/>
  <c r="X9" i="34"/>
  <c r="Y44" i="8"/>
  <c r="E33" i="2"/>
  <c r="P29" i="29"/>
  <c r="P27" i="29"/>
  <c r="P38" i="7"/>
  <c r="Q37" i="7"/>
  <c r="Q39" i="7"/>
  <c r="Q27" i="29"/>
  <c r="Q29" i="29"/>
  <c r="AG38" i="7"/>
  <c r="AF40" i="8"/>
  <c r="AG39" i="8"/>
  <c r="AI25" i="2"/>
  <c r="AI27" i="2"/>
  <c r="AI29" i="2"/>
  <c r="AF25" i="34"/>
  <c r="S9" i="29"/>
  <c r="R25" i="7"/>
  <c r="R28" i="8"/>
  <c r="S37" i="8"/>
  <c r="S30" i="8"/>
  <c r="S6" i="8"/>
  <c r="S8" i="8"/>
  <c r="S15" i="8"/>
  <c r="S19" i="8"/>
  <c r="S5" i="29"/>
  <c r="T44" i="29"/>
  <c r="R18" i="7"/>
  <c r="Q16" i="34"/>
  <c r="Q19" i="34"/>
  <c r="G3" i="19"/>
  <c r="G49" i="8"/>
  <c r="Z44" i="29"/>
  <c r="Y11" i="8"/>
  <c r="Y15" i="8"/>
  <c r="Y19" i="8"/>
  <c r="Y5" i="29"/>
  <c r="Y9" i="29"/>
  <c r="N25" i="34"/>
  <c r="X11" i="8"/>
  <c r="N22" i="7"/>
  <c r="N26" i="7"/>
  <c r="N33" i="7"/>
  <c r="N26" i="29"/>
  <c r="N28" i="29"/>
  <c r="N38" i="29"/>
  <c r="N7" i="29"/>
  <c r="U25" i="34"/>
  <c r="M11" i="8"/>
  <c r="M15" i="8"/>
  <c r="M19" i="8"/>
  <c r="M5" i="29"/>
  <c r="M13" i="29"/>
  <c r="M17" i="29"/>
  <c r="W5" i="34"/>
  <c r="X11" i="7"/>
  <c r="W6" i="34"/>
  <c r="Q6" i="34"/>
  <c r="R11" i="7"/>
  <c r="Q5" i="34"/>
  <c r="K9" i="29"/>
  <c r="K11" i="8"/>
  <c r="K15" i="8"/>
  <c r="K19" i="8"/>
  <c r="K5" i="29"/>
  <c r="L44" i="29"/>
  <c r="J9" i="34"/>
  <c r="K44" i="8"/>
  <c r="J24" i="34"/>
  <c r="AB33" i="2"/>
  <c r="X44" i="29"/>
  <c r="W11" i="8"/>
  <c r="W15" i="8"/>
  <c r="W19" i="8"/>
  <c r="W5" i="29"/>
  <c r="W9" i="29"/>
  <c r="R33" i="2"/>
  <c r="F32" i="2"/>
  <c r="I32" i="2"/>
  <c r="G32" i="2"/>
  <c r="E32" i="2"/>
  <c r="E31" i="2"/>
  <c r="H32" i="2"/>
  <c r="V44" i="29"/>
  <c r="U11" i="8"/>
  <c r="U15" i="8"/>
  <c r="U19" i="8"/>
  <c r="U5" i="29"/>
  <c r="U9" i="29"/>
  <c r="AB44" i="8"/>
  <c r="AA9" i="34"/>
  <c r="AA24" i="34"/>
  <c r="Z32" i="2"/>
  <c r="V31" i="2"/>
  <c r="U36" i="2"/>
  <c r="U34" i="2"/>
  <c r="U38" i="2"/>
  <c r="U28" i="2"/>
  <c r="S12" i="8"/>
  <c r="AB11" i="34"/>
  <c r="AB10" i="34"/>
  <c r="AB38" i="7"/>
  <c r="AC37" i="7"/>
  <c r="AC39" i="7"/>
  <c r="AC7" i="19"/>
  <c r="AD19" i="34"/>
  <c r="AE11" i="7"/>
  <c r="AE18" i="7"/>
  <c r="AD16" i="34"/>
  <c r="D26" i="29"/>
  <c r="D28" i="29"/>
  <c r="D36" i="29"/>
  <c r="D37" i="29"/>
  <c r="Y26" i="7"/>
  <c r="Y33" i="7"/>
  <c r="Y41" i="7"/>
  <c r="Y43" i="7"/>
  <c r="W25" i="34"/>
  <c r="AB9" i="34"/>
  <c r="AC44" i="8"/>
  <c r="AB24" i="34"/>
  <c r="S5" i="34"/>
  <c r="T11" i="7"/>
  <c r="S6" i="34"/>
  <c r="AF44" i="29"/>
  <c r="AE11" i="8"/>
  <c r="AE15" i="8"/>
  <c r="AE19" i="8"/>
  <c r="AE5" i="29"/>
  <c r="AE9" i="29"/>
  <c r="N6" i="34"/>
  <c r="N5" i="34"/>
  <c r="AD24" i="34"/>
  <c r="AD9" i="34"/>
  <c r="AE44" i="8"/>
  <c r="T32" i="2"/>
  <c r="P31" i="2"/>
  <c r="U38" i="29"/>
  <c r="U7" i="29"/>
  <c r="F44" i="29"/>
  <c r="E11" i="8"/>
  <c r="E15" i="8"/>
  <c r="E19" i="8"/>
  <c r="E5" i="29"/>
  <c r="E9" i="29"/>
  <c r="U31" i="7"/>
  <c r="E10" i="34"/>
  <c r="F7" i="19"/>
  <c r="E38" i="7"/>
  <c r="F37" i="7"/>
  <c r="F39" i="7"/>
  <c r="E11" i="34"/>
  <c r="AF4" i="34"/>
  <c r="AG40" i="8"/>
  <c r="T31" i="7"/>
  <c r="P49" i="8"/>
  <c r="P3" i="19"/>
  <c r="Y25" i="34"/>
  <c r="W10" i="34"/>
  <c r="X7" i="19"/>
  <c r="W11" i="34"/>
  <c r="T25" i="34"/>
  <c r="AF3" i="19"/>
  <c r="AF49" i="8"/>
  <c r="U26" i="29"/>
  <c r="U28" i="29"/>
  <c r="U36" i="29"/>
  <c r="U37" i="29"/>
  <c r="D65" i="29"/>
  <c r="D64" i="29"/>
  <c r="P4" i="34"/>
  <c r="AE65" i="29"/>
  <c r="AE64" i="29"/>
  <c r="S65" i="29"/>
  <c r="S64" i="29"/>
  <c r="O11" i="7"/>
  <c r="O18" i="7"/>
  <c r="N16" i="34"/>
  <c r="N19" i="34"/>
  <c r="V11" i="8"/>
  <c r="V15" i="8"/>
  <c r="V19" i="8"/>
  <c r="V5" i="29"/>
  <c r="V13" i="29"/>
  <c r="V17" i="29"/>
  <c r="G29" i="2"/>
  <c r="D25" i="34"/>
  <c r="L5" i="34"/>
  <c r="L6" i="34"/>
  <c r="C37" i="29"/>
  <c r="C36" i="29"/>
  <c r="AE11" i="34"/>
  <c r="AE10" i="34"/>
  <c r="AE38" i="7"/>
  <c r="AF37" i="7"/>
  <c r="AF39" i="7"/>
  <c r="AF7" i="19"/>
  <c r="O26" i="29"/>
  <c r="O28" i="29"/>
  <c r="O36" i="29"/>
  <c r="O37" i="29"/>
  <c r="Z31" i="7"/>
  <c r="U10" i="34"/>
  <c r="V7" i="19"/>
  <c r="U11" i="34"/>
  <c r="AD29" i="2"/>
  <c r="AA25" i="34"/>
  <c r="AE33" i="2"/>
  <c r="L18" i="7"/>
  <c r="K16" i="34"/>
  <c r="K19" i="34"/>
  <c r="T27" i="2"/>
  <c r="T33" i="2"/>
  <c r="X7" i="29"/>
  <c r="X38" i="29"/>
  <c r="U43" i="7"/>
  <c r="U41" i="7"/>
  <c r="D12" i="8"/>
  <c r="F36" i="2"/>
  <c r="F34" i="2"/>
  <c r="F38" i="2"/>
  <c r="F28" i="2"/>
  <c r="W21" i="8"/>
  <c r="U12" i="8"/>
  <c r="W28" i="2"/>
  <c r="W38" i="2"/>
  <c r="W34" i="2"/>
  <c r="W36" i="2"/>
  <c r="O43" i="7"/>
  <c r="O41" i="7"/>
  <c r="Q43" i="7"/>
  <c r="Q41" i="7"/>
  <c r="AG19" i="29"/>
  <c r="AF19" i="29"/>
  <c r="AE19" i="29"/>
  <c r="AD19" i="29"/>
  <c r="AC19" i="29"/>
  <c r="AB19" i="29"/>
  <c r="AA19" i="29"/>
  <c r="Z19" i="29"/>
  <c r="Y19" i="29"/>
  <c r="X19" i="29"/>
  <c r="W19" i="29"/>
  <c r="V19" i="29"/>
  <c r="U19" i="29"/>
  <c r="T19" i="29"/>
  <c r="S19" i="29"/>
  <c r="R19" i="29"/>
  <c r="Q19" i="29"/>
  <c r="P19" i="29"/>
  <c r="O19" i="29"/>
  <c r="N19" i="29"/>
  <c r="M19" i="29"/>
  <c r="L19" i="29"/>
  <c r="K19" i="29"/>
  <c r="J19" i="29"/>
  <c r="I19" i="29"/>
  <c r="H19" i="29"/>
  <c r="G19" i="29"/>
  <c r="F19" i="29"/>
  <c r="E19" i="29"/>
  <c r="D19" i="29"/>
  <c r="C19" i="29"/>
  <c r="C17" i="29"/>
  <c r="C13" i="29"/>
  <c r="D44" i="29"/>
  <c r="C5" i="29"/>
  <c r="C44" i="29"/>
  <c r="Q33" i="2"/>
  <c r="F12" i="8"/>
  <c r="H28" i="2"/>
  <c r="H38" i="2"/>
  <c r="H34" i="2"/>
  <c r="H36" i="2"/>
  <c r="T10" i="34"/>
  <c r="U7" i="19"/>
  <c r="T11" i="34"/>
  <c r="D17" i="29"/>
  <c r="D13" i="29"/>
  <c r="AG37" i="29"/>
  <c r="AG36" i="29"/>
  <c r="T17" i="29"/>
  <c r="T13" i="29"/>
  <c r="N11" i="8"/>
  <c r="R29" i="29"/>
  <c r="R27" i="29"/>
  <c r="AC25" i="34"/>
  <c r="AC7" i="29"/>
  <c r="AC38" i="29"/>
  <c r="M32" i="2"/>
  <c r="I31" i="2"/>
  <c r="W32" i="2"/>
  <c r="S31" i="2"/>
  <c r="O25" i="34"/>
  <c r="W7" i="19"/>
  <c r="V11" i="34"/>
  <c r="V10" i="34"/>
  <c r="V31" i="7"/>
  <c r="AD12" i="8"/>
  <c r="AF28" i="2"/>
  <c r="AF38" i="2"/>
  <c r="AF34" i="2"/>
  <c r="AF36" i="2"/>
  <c r="Q31" i="2"/>
  <c r="U32" i="2"/>
  <c r="AG29" i="29"/>
  <c r="AG27" i="29"/>
  <c r="V29" i="2"/>
  <c r="T38" i="7"/>
  <c r="U37" i="7"/>
  <c r="U39" i="7"/>
  <c r="U27" i="29"/>
  <c r="U29" i="29"/>
  <c r="V25" i="34"/>
  <c r="X31" i="7"/>
  <c r="V22" i="7"/>
  <c r="V26" i="7"/>
  <c r="V33" i="7"/>
  <c r="V26" i="29"/>
  <c r="V28" i="29"/>
  <c r="V36" i="29"/>
  <c r="V37" i="29"/>
  <c r="AF29" i="2"/>
  <c r="AD64" i="29"/>
  <c r="AD65" i="29"/>
  <c r="AF33" i="2"/>
  <c r="AC40" i="8"/>
  <c r="AD39" i="8"/>
  <c r="AF25" i="2"/>
  <c r="AF27" i="2"/>
  <c r="AF31" i="2"/>
  <c r="AD26" i="29"/>
  <c r="AD28" i="29"/>
  <c r="AD38" i="29"/>
  <c r="AD7" i="29"/>
  <c r="AG7" i="29"/>
  <c r="AG26" i="29"/>
  <c r="AG28" i="29"/>
  <c r="AG38" i="29"/>
  <c r="K5" i="34"/>
  <c r="L11" i="7"/>
  <c r="K6" i="34"/>
  <c r="AC37" i="29"/>
  <c r="AC26" i="7"/>
  <c r="AC33" i="7"/>
  <c r="AC26" i="29"/>
  <c r="AC28" i="29"/>
  <c r="AC36" i="29"/>
  <c r="AH31" i="2"/>
  <c r="AH33" i="2"/>
  <c r="R27" i="2"/>
  <c r="R29" i="2"/>
  <c r="P64" i="29"/>
  <c r="P65" i="29"/>
  <c r="R22" i="7"/>
  <c r="R26" i="7"/>
  <c r="R33" i="7"/>
  <c r="R26" i="29"/>
  <c r="R28" i="29"/>
  <c r="R36" i="29"/>
  <c r="R37" i="29"/>
  <c r="AE4" i="34"/>
  <c r="F43" i="7"/>
  <c r="F41" i="7"/>
  <c r="X29" i="2"/>
  <c r="V38" i="7"/>
  <c r="W37" i="7"/>
  <c r="W39" i="7"/>
  <c r="W27" i="29"/>
  <c r="W29" i="29"/>
  <c r="F49" i="8"/>
  <c r="F3" i="19"/>
  <c r="Q26" i="29"/>
  <c r="Q28" i="29"/>
  <c r="Q36" i="29"/>
  <c r="Q37" i="29"/>
  <c r="V4" i="34"/>
  <c r="X30" i="7"/>
  <c r="Y30" i="7"/>
  <c r="Z30" i="7"/>
  <c r="AA30" i="7"/>
  <c r="AA31" i="7"/>
  <c r="I43" i="7"/>
  <c r="I41" i="7"/>
  <c r="F7" i="29"/>
  <c r="F38" i="29"/>
  <c r="N9" i="29"/>
  <c r="O44" i="29"/>
  <c r="H26" i="7"/>
  <c r="H33" i="7"/>
  <c r="H26" i="29"/>
  <c r="H28" i="29"/>
  <c r="H38" i="29"/>
  <c r="H7" i="29"/>
  <c r="N29" i="29"/>
  <c r="N27" i="29"/>
  <c r="K33" i="2"/>
  <c r="G26" i="29"/>
  <c r="G28" i="29"/>
  <c r="G36" i="29"/>
  <c r="G37" i="29"/>
  <c r="W64" i="29"/>
  <c r="W65" i="29"/>
  <c r="G33" i="2"/>
  <c r="AF7" i="29"/>
  <c r="AF26" i="29"/>
  <c r="AF28" i="29"/>
  <c r="AF38" i="29"/>
  <c r="I11" i="34"/>
  <c r="J7" i="19"/>
  <c r="I10" i="34"/>
  <c r="W18" i="7"/>
  <c r="V16" i="34"/>
  <c r="V19" i="34"/>
  <c r="Z43" i="7"/>
  <c r="Z41" i="7"/>
  <c r="V12" i="8"/>
  <c r="X28" i="2"/>
  <c r="X36" i="2"/>
  <c r="X34" i="2"/>
  <c r="X38" i="2"/>
  <c r="F37" i="29"/>
  <c r="F26" i="29"/>
  <c r="F28" i="29"/>
  <c r="F36" i="29"/>
  <c r="U19" i="34"/>
  <c r="U16" i="34"/>
  <c r="V18" i="7"/>
  <c r="L43" i="7"/>
  <c r="L41" i="7"/>
  <c r="X26" i="29"/>
  <c r="X28" i="29"/>
  <c r="X36" i="29"/>
  <c r="X37" i="29"/>
  <c r="AE41" i="7"/>
  <c r="AE43" i="7"/>
  <c r="Z10" i="34"/>
  <c r="AA7" i="19"/>
  <c r="Y40" i="8"/>
  <c r="Z39" i="8"/>
  <c r="AB25" i="2"/>
  <c r="AB27" i="2"/>
  <c r="AB29" i="2"/>
  <c r="Z38" i="7"/>
  <c r="AA37" i="7"/>
  <c r="AA39" i="7"/>
  <c r="Z11" i="34"/>
  <c r="N10" i="34"/>
  <c r="O7" i="19"/>
  <c r="N38" i="7"/>
  <c r="O37" i="7"/>
  <c r="O39" i="7"/>
  <c r="N11" i="34"/>
  <c r="D4" i="34"/>
  <c r="X40" i="8"/>
  <c r="Y39" i="8"/>
  <c r="AA25" i="2"/>
  <c r="AA27" i="2"/>
  <c r="AA29" i="2"/>
  <c r="X25" i="34"/>
  <c r="AB3" i="19"/>
  <c r="AB49" i="8"/>
  <c r="B9" i="34"/>
  <c r="B24" i="34"/>
  <c r="U3" i="19"/>
  <c r="U49" i="8"/>
  <c r="C64" i="29"/>
  <c r="C65" i="29"/>
  <c r="M11" i="7"/>
  <c r="M18" i="7"/>
  <c r="L16" i="34"/>
  <c r="L19" i="34"/>
  <c r="P33" i="2"/>
  <c r="AA5" i="34"/>
  <c r="AA6" i="34"/>
  <c r="L65" i="29"/>
  <c r="L64" i="29"/>
  <c r="F9" i="34"/>
  <c r="G44" i="8"/>
  <c r="G22" i="7"/>
  <c r="G26" i="7"/>
  <c r="G33" i="7"/>
  <c r="F24" i="34"/>
  <c r="AB7" i="29"/>
  <c r="AB38" i="29"/>
  <c r="P22" i="7"/>
  <c r="P26" i="7"/>
  <c r="P33" i="7"/>
  <c r="P26" i="29"/>
  <c r="P28" i="29"/>
  <c r="P38" i="29"/>
  <c r="P7" i="29"/>
  <c r="U44" i="8"/>
  <c r="T24" i="34"/>
  <c r="U22" i="7"/>
  <c r="U26" i="7"/>
  <c r="U33" i="7"/>
  <c r="T9" i="34"/>
  <c r="D43" i="7"/>
  <c r="D41" i="7"/>
  <c r="I49" i="8"/>
  <c r="I3" i="19"/>
  <c r="K31" i="7"/>
  <c r="P31" i="7"/>
  <c r="G36" i="2"/>
  <c r="G34" i="2"/>
  <c r="G38" i="2"/>
  <c r="G28" i="2"/>
  <c r="E12" i="8"/>
  <c r="E6" i="34"/>
  <c r="E5" i="34"/>
  <c r="H33" i="2"/>
  <c r="H17" i="29"/>
  <c r="H13" i="29"/>
  <c r="AC33" i="2"/>
  <c r="V6" i="34"/>
  <c r="W11" i="7"/>
  <c r="V5" i="34"/>
  <c r="AE19" i="34"/>
  <c r="AE16" i="34"/>
  <c r="AF18" i="7"/>
  <c r="Y4" i="34"/>
  <c r="AC12" i="8"/>
  <c r="AE28" i="2"/>
  <c r="AE38" i="2"/>
  <c r="AE34" i="2"/>
  <c r="AE36" i="2"/>
  <c r="M25" i="7"/>
  <c r="M28" i="8"/>
  <c r="N37" i="8"/>
  <c r="N30" i="8"/>
  <c r="N6" i="8"/>
  <c r="N8" i="8"/>
  <c r="N15" i="8"/>
  <c r="N19" i="8"/>
  <c r="N5" i="29"/>
  <c r="N13" i="29"/>
  <c r="N17" i="29"/>
  <c r="L17" i="29"/>
  <c r="L13" i="29"/>
  <c r="B19" i="34"/>
  <c r="B16" i="34"/>
  <c r="C18" i="7"/>
  <c r="K31" i="2"/>
  <c r="O32" i="2"/>
  <c r="M31" i="7"/>
  <c r="M4" i="34"/>
  <c r="N31" i="7"/>
  <c r="D40" i="8"/>
  <c r="E39" i="8"/>
  <c r="G25" i="2"/>
  <c r="G27" i="2"/>
  <c r="G31" i="2"/>
  <c r="K32" i="2"/>
  <c r="K25" i="34"/>
  <c r="M6" i="34"/>
  <c r="M5" i="34"/>
  <c r="I38" i="7"/>
  <c r="J37" i="7"/>
  <c r="J39" i="7"/>
  <c r="J27" i="29"/>
  <c r="J29" i="29"/>
  <c r="G17" i="29"/>
  <c r="G13" i="29"/>
  <c r="B11" i="34"/>
  <c r="C7" i="19"/>
  <c r="B10" i="34"/>
  <c r="H25" i="34"/>
  <c r="Y33" i="2"/>
  <c r="AB37" i="29"/>
  <c r="AB22" i="7"/>
  <c r="AB26" i="7"/>
  <c r="AB33" i="7"/>
  <c r="AB26" i="29"/>
  <c r="AB28" i="29"/>
  <c r="AB36" i="29"/>
  <c r="L44" i="8"/>
  <c r="K24" i="34"/>
  <c r="K9" i="34"/>
  <c r="Y44" i="29"/>
  <c r="W25" i="7"/>
  <c r="W28" i="8"/>
  <c r="X37" i="8"/>
  <c r="X30" i="8"/>
  <c r="X6" i="8"/>
  <c r="X8" i="8"/>
  <c r="X15" i="8"/>
  <c r="X19" i="8"/>
  <c r="X5" i="29"/>
  <c r="X9" i="29"/>
  <c r="C47" i="29"/>
  <c r="C22" i="7"/>
  <c r="C26" i="7"/>
  <c r="C33" i="7"/>
  <c r="C26" i="29"/>
  <c r="C28" i="29"/>
  <c r="C38" i="29"/>
  <c r="C7" i="29"/>
  <c r="Z5" i="34"/>
  <c r="Z6" i="34"/>
  <c r="Y6" i="34"/>
  <c r="Z11" i="7"/>
  <c r="Y5" i="34"/>
  <c r="H31" i="2"/>
  <c r="L32" i="2"/>
  <c r="I44" i="29"/>
  <c r="H11" i="8"/>
  <c r="H15" i="8"/>
  <c r="H19" i="8"/>
  <c r="H5" i="29"/>
  <c r="H9" i="29"/>
  <c r="AC31" i="2"/>
  <c r="AG32" i="2"/>
  <c r="R4" i="34"/>
  <c r="N11" i="7"/>
  <c r="N18" i="7"/>
  <c r="M16" i="34"/>
  <c r="M19" i="34"/>
  <c r="AA4" i="34"/>
  <c r="N12" i="8"/>
  <c r="P28" i="2"/>
  <c r="P38" i="2"/>
  <c r="P36" i="2"/>
  <c r="P34" i="2"/>
  <c r="AA65" i="29"/>
  <c r="AA64" i="29"/>
  <c r="K26" i="7"/>
  <c r="K33" i="7"/>
  <c r="K26" i="29"/>
  <c r="K28" i="29"/>
  <c r="K36" i="29"/>
  <c r="K37" i="29"/>
  <c r="AA11" i="7"/>
  <c r="AA18" i="7"/>
  <c r="Z16" i="34"/>
  <c r="Z19" i="34"/>
  <c r="AD43" i="7"/>
  <c r="AD41" i="7"/>
  <c r="E27" i="2"/>
  <c r="E29" i="2"/>
  <c r="C38" i="7"/>
  <c r="C39" i="7"/>
  <c r="C27" i="29"/>
  <c r="C29" i="29"/>
  <c r="H40" i="8"/>
  <c r="I39" i="8"/>
  <c r="K25" i="2"/>
  <c r="K27" i="2"/>
  <c r="K29" i="2"/>
  <c r="I64" i="29"/>
  <c r="I65" i="29"/>
  <c r="Y31" i="2"/>
  <c r="AC32" i="2"/>
  <c r="T43" i="7"/>
  <c r="T41" i="7"/>
  <c r="U33" i="2"/>
  <c r="D6" i="34"/>
  <c r="E11" i="7"/>
  <c r="D5" i="34"/>
  <c r="Q40" i="8"/>
  <c r="R39" i="8"/>
  <c r="T25" i="2"/>
  <c r="T36" i="2"/>
  <c r="T34" i="2"/>
  <c r="T38" i="2"/>
  <c r="T28" i="2"/>
  <c r="R12" i="8"/>
  <c r="V27" i="2"/>
  <c r="V33" i="2"/>
  <c r="AB11" i="7"/>
  <c r="AB18" i="7"/>
  <c r="AA16" i="34"/>
  <c r="AA19" i="34"/>
  <c r="M40" i="8"/>
  <c r="N39" i="8"/>
  <c r="P25" i="2"/>
  <c r="P27" i="2"/>
  <c r="P29" i="2"/>
  <c r="M25" i="34"/>
  <c r="X11" i="34"/>
  <c r="X10" i="34"/>
  <c r="Z29" i="2"/>
  <c r="X38" i="7"/>
  <c r="Y37" i="7"/>
  <c r="Y39" i="7"/>
  <c r="Y7" i="19"/>
  <c r="Y27" i="2"/>
  <c r="Y29" i="2"/>
  <c r="W38" i="7"/>
  <c r="X37" i="7"/>
  <c r="X39" i="7"/>
  <c r="X27" i="29"/>
  <c r="X29" i="29"/>
  <c r="T40" i="8"/>
  <c r="U39" i="8"/>
  <c r="W25" i="2"/>
  <c r="W27" i="2"/>
  <c r="W29" i="2"/>
  <c r="U38" i="7"/>
  <c r="V37" i="7"/>
  <c r="V39" i="7"/>
  <c r="V27" i="29"/>
  <c r="V29" i="29"/>
  <c r="S11" i="8"/>
  <c r="E24" i="34"/>
  <c r="E9" i="34"/>
  <c r="F22" i="7"/>
  <c r="F26" i="7"/>
  <c r="F33" i="7"/>
  <c r="F44" i="8"/>
  <c r="AB32" i="2"/>
  <c r="X31" i="2"/>
  <c r="X44" i="8"/>
  <c r="W9" i="34"/>
  <c r="W24" i="34"/>
  <c r="O4" i="34"/>
  <c r="P7" i="19"/>
  <c r="O10" i="34"/>
  <c r="N40" i="8"/>
  <c r="O39" i="8"/>
  <c r="Q25" i="2"/>
  <c r="Q27" i="2"/>
  <c r="Q29" i="2"/>
  <c r="O38" i="7"/>
  <c r="P37" i="7"/>
  <c r="P39" i="7"/>
  <c r="O11" i="34"/>
  <c r="AE22" i="7"/>
  <c r="AE26" i="7"/>
  <c r="AE33" i="7"/>
  <c r="AE26" i="29"/>
  <c r="AE28" i="29"/>
  <c r="AE36" i="29"/>
  <c r="AE37" i="29"/>
  <c r="C25" i="34"/>
  <c r="N33" i="2"/>
  <c r="U40" i="8"/>
  <c r="V39" i="8"/>
  <c r="X25" i="2"/>
  <c r="X27" i="2"/>
  <c r="X33" i="2"/>
  <c r="I40" i="8"/>
  <c r="J39" i="8"/>
  <c r="L25" i="2"/>
  <c r="L27" i="2"/>
  <c r="L33" i="2"/>
  <c r="AE25" i="34"/>
  <c r="F25" i="34"/>
  <c r="J26" i="29"/>
  <c r="J28" i="29"/>
  <c r="J38" i="29"/>
  <c r="J7" i="29"/>
  <c r="M11" i="34"/>
  <c r="M10" i="34"/>
  <c r="M38" i="7"/>
  <c r="N37" i="7"/>
  <c r="N39" i="7"/>
  <c r="N7" i="19"/>
  <c r="U29" i="2"/>
  <c r="R25" i="34"/>
  <c r="H49" i="8"/>
  <c r="H22" i="7"/>
  <c r="H3" i="19"/>
  <c r="Z4" i="34"/>
  <c r="W40" i="8"/>
  <c r="X39" i="8"/>
  <c r="Z25" i="2"/>
  <c r="Z27" i="2"/>
  <c r="Z33" i="2"/>
  <c r="F11" i="7"/>
  <c r="F18" i="7"/>
  <c r="E16" i="34"/>
  <c r="E19" i="34"/>
  <c r="D11" i="34"/>
  <c r="E7" i="19"/>
  <c r="D10" i="34"/>
  <c r="T30" i="7"/>
  <c r="U30" i="7"/>
  <c r="V30" i="7"/>
  <c r="W30" i="7"/>
  <c r="W31" i="7"/>
  <c r="O33" i="2"/>
  <c r="AE6" i="34"/>
  <c r="AF11" i="7"/>
  <c r="AE5" i="34"/>
  <c r="B4" i="34"/>
  <c r="P25" i="34"/>
  <c r="J44" i="8"/>
  <c r="I9" i="34"/>
  <c r="I24" i="34"/>
  <c r="H29" i="29"/>
  <c r="H27" i="29"/>
  <c r="Q32" i="2"/>
  <c r="M31" i="2"/>
  <c r="E25" i="34"/>
  <c r="M30" i="7"/>
  <c r="N30" i="7"/>
  <c r="O30" i="7"/>
  <c r="P30" i="7"/>
  <c r="Q30" i="7"/>
  <c r="R30" i="7"/>
  <c r="S30" i="7"/>
  <c r="S31" i="7"/>
  <c r="K3" i="19"/>
  <c r="K22" i="7"/>
  <c r="K49" i="8"/>
  <c r="G9" i="29"/>
  <c r="G11" i="8"/>
  <c r="G15" i="8"/>
  <c r="G19" i="8"/>
  <c r="G5" i="29"/>
  <c r="H44" i="29"/>
  <c r="L11" i="34"/>
  <c r="L10" i="34"/>
  <c r="M7" i="19"/>
  <c r="AD3" i="19"/>
  <c r="AD49" i="8"/>
  <c r="Q44" i="29"/>
  <c r="P9" i="29"/>
  <c r="H31" i="7"/>
  <c r="Q17" i="29"/>
  <c r="Q13" i="29"/>
  <c r="AB12" i="8"/>
  <c r="AD28" i="2"/>
  <c r="AD36" i="2"/>
  <c r="AD34" i="2"/>
  <c r="AD38" i="2"/>
  <c r="O6" i="34"/>
  <c r="O5" i="34"/>
  <c r="R40" i="8"/>
  <c r="S39" i="8"/>
  <c r="U25" i="2"/>
  <c r="U27" i="2"/>
  <c r="U31" i="2"/>
  <c r="Y32" i="2"/>
  <c r="AD44" i="8"/>
  <c r="AC24" i="34"/>
  <c r="AD22" i="7"/>
  <c r="AD26" i="7"/>
  <c r="AD33" i="7"/>
  <c r="AC9" i="34"/>
  <c r="AD33" i="2"/>
  <c r="F27" i="2"/>
  <c r="F29" i="2"/>
  <c r="D38" i="7"/>
  <c r="E37" i="7"/>
  <c r="E39" i="7"/>
  <c r="E27" i="29"/>
  <c r="E29" i="29"/>
  <c r="O31" i="2"/>
  <c r="S32" i="2"/>
  <c r="U5" i="34"/>
  <c r="V11" i="7"/>
  <c r="U6" i="34"/>
  <c r="R44" i="29"/>
  <c r="Q11" i="8"/>
  <c r="Q15" i="8"/>
  <c r="Q19" i="8"/>
  <c r="Q5" i="29"/>
  <c r="Q9" i="29"/>
  <c r="B6" i="34"/>
  <c r="C11" i="7"/>
  <c r="B5" i="34"/>
  <c r="L25" i="34"/>
  <c r="X49" i="8"/>
  <c r="X3" i="19"/>
  <c r="I7" i="19"/>
  <c r="H10" i="34"/>
  <c r="H11" i="34"/>
  <c r="J26" i="7"/>
  <c r="J33" i="7"/>
  <c r="J41" i="7"/>
  <c r="J43" i="7"/>
  <c r="Z25" i="34"/>
  <c r="S4" i="34"/>
  <c r="H25" i="7"/>
  <c r="H30" i="7"/>
  <c r="I30" i="7"/>
  <c r="J30" i="7"/>
  <c r="K30" i="7"/>
  <c r="L30" i="7"/>
  <c r="L31" i="7"/>
  <c r="O40" i="8"/>
  <c r="P39" i="8"/>
  <c r="R25" i="2"/>
  <c r="P11" i="8"/>
  <c r="P15" i="8"/>
  <c r="P19" i="8"/>
  <c r="P5" i="29"/>
  <c r="P13" i="29"/>
  <c r="P17" i="29"/>
  <c r="AA10" i="34"/>
  <c r="AB7" i="19"/>
  <c r="AA11" i="34"/>
  <c r="Z26" i="29"/>
  <c r="Z28" i="29"/>
  <c r="Z38" i="29"/>
  <c r="Z7" i="29"/>
  <c r="U44" i="29"/>
  <c r="S40" i="8"/>
  <c r="T39" i="8"/>
  <c r="V25" i="2"/>
  <c r="T11" i="8"/>
  <c r="T15" i="8"/>
  <c r="T19" i="8"/>
  <c r="T5" i="29"/>
  <c r="T9" i="29"/>
  <c r="T26" i="29"/>
  <c r="T28" i="29"/>
  <c r="T36" i="29"/>
  <c r="T37" i="29"/>
  <c r="AE9" i="34"/>
  <c r="AF44" i="8"/>
  <c r="AF22" i="7"/>
  <c r="AF26" i="7"/>
  <c r="AF33" i="7"/>
  <c r="AE24" i="34"/>
  <c r="E4" i="34"/>
  <c r="AB25" i="34"/>
  <c r="J40" i="8"/>
  <c r="K39" i="8"/>
  <c r="M25" i="2"/>
  <c r="M27" i="2"/>
  <c r="M33" i="2"/>
  <c r="AF11" i="34"/>
  <c r="AG7" i="19"/>
  <c r="AE40" i="8"/>
  <c r="AF39" i="8"/>
  <c r="AH25" i="2"/>
  <c r="AH27" i="2"/>
  <c r="AH29" i="2"/>
  <c r="AF38" i="7"/>
  <c r="AG37" i="7"/>
  <c r="AG39" i="7"/>
  <c r="AF10" i="34"/>
  <c r="AG29" i="2"/>
  <c r="AD25" i="34"/>
  <c r="G10" i="34"/>
  <c r="G11" i="34"/>
  <c r="G38" i="7"/>
  <c r="H37" i="7"/>
  <c r="H39" i="7"/>
  <c r="H7" i="19"/>
  <c r="Q3" i="19"/>
  <c r="Q49" i="8"/>
  <c r="I29" i="2"/>
  <c r="G64" i="29"/>
  <c r="G65" i="29"/>
  <c r="X22" i="7"/>
  <c r="X26" i="7"/>
  <c r="X33" i="7"/>
  <c r="X41" i="7"/>
  <c r="X43" i="7"/>
  <c r="AF6" i="34"/>
  <c r="AG7" i="7"/>
  <c r="AG11" i="7"/>
  <c r="AF5" i="34"/>
  <c r="D44" i="8"/>
  <c r="C9" i="34"/>
  <c r="D22" i="7"/>
  <c r="D26" i="7"/>
  <c r="D33" i="7"/>
  <c r="C24" i="34"/>
  <c r="Y24" i="34"/>
  <c r="Z44" i="8"/>
  <c r="Z22" i="7"/>
  <c r="Z26" i="7"/>
  <c r="Z33" i="7"/>
  <c r="Y9" i="34"/>
  <c r="I44" i="8"/>
  <c r="H24" i="34"/>
  <c r="I22" i="7"/>
  <c r="I26" i="7"/>
  <c r="I33" i="7"/>
  <c r="H9" i="34"/>
  <c r="AC11" i="34"/>
  <c r="AC10" i="34"/>
  <c r="AE27" i="2"/>
  <c r="AE29" i="2"/>
  <c r="AC38" i="7"/>
  <c r="AD37" i="7"/>
  <c r="AD39" i="7"/>
  <c r="AD7" i="19"/>
  <c r="AA40" i="8"/>
  <c r="AB39" i="8"/>
  <c r="AD25" i="2"/>
  <c r="AD27" i="2"/>
  <c r="AD31" i="2"/>
  <c r="AH32" i="2"/>
  <c r="Y3" i="19"/>
  <c r="Y22" i="7"/>
  <c r="Y49" i="8"/>
  <c r="AC3" i="19"/>
  <c r="AC22" i="7"/>
  <c r="AC49" i="8"/>
  <c r="O44" i="8"/>
  <c r="N24" i="34"/>
  <c r="O22" i="7"/>
  <c r="O26" i="7"/>
  <c r="O33" i="7"/>
  <c r="N9" i="34"/>
  <c r="U4" i="34"/>
  <c r="I36" i="2"/>
  <c r="I34" i="2"/>
  <c r="I38" i="2"/>
  <c r="I28" i="2"/>
  <c r="G12" i="8"/>
  <c r="Q44" i="8"/>
  <c r="P24" i="34"/>
  <c r="Q22" i="7"/>
  <c r="Q26" i="7"/>
  <c r="Q33" i="7"/>
  <c r="P9" i="34"/>
  <c r="G25" i="34"/>
  <c r="L40" i="8"/>
  <c r="M39" i="8"/>
  <c r="O25" i="2"/>
  <c r="O27" i="2"/>
  <c r="O29" i="2"/>
  <c r="M64" i="29"/>
  <c r="M65" i="29"/>
  <c r="AB40" i="8"/>
  <c r="AC39" i="8"/>
  <c r="AE25" i="2"/>
  <c r="AC11" i="8"/>
  <c r="J49" i="8"/>
  <c r="J22" i="7"/>
  <c r="J3" i="19"/>
  <c r="G40" i="8"/>
  <c r="H39" i="8"/>
  <c r="J25" i="2"/>
  <c r="J27" i="2"/>
  <c r="J29" i="2"/>
  <c r="H38" i="7"/>
  <c r="I37" i="7"/>
  <c r="I39" i="7"/>
  <c r="I27" i="29"/>
  <c r="I29" i="29"/>
  <c r="E44" i="29"/>
  <c r="D39" i="8"/>
  <c r="F25" i="2"/>
  <c r="D11" i="8"/>
  <c r="D15" i="8"/>
  <c r="D19" i="8"/>
  <c r="D5" i="29"/>
  <c r="D9" i="29"/>
  <c r="M44" i="29"/>
  <c r="L11" i="8"/>
  <c r="L15" i="8"/>
  <c r="L19" i="8"/>
  <c r="L5" i="29"/>
  <c r="L9" i="29"/>
  <c r="AF24" i="34"/>
  <c r="AG44" i="8"/>
  <c r="AE7" i="7"/>
  <c r="AF7" i="7"/>
  <c r="AG22" i="7"/>
  <c r="AG26" i="7"/>
  <c r="AG33" i="7"/>
  <c r="AF9" i="34"/>
  <c r="T44" i="8"/>
  <c r="S9" i="34"/>
  <c r="T22" i="7"/>
  <c r="T26" i="7"/>
  <c r="T33" i="7"/>
  <c r="S24" i="34"/>
  <c r="F10" i="34"/>
  <c r="G7" i="19"/>
  <c r="F11" i="34"/>
  <c r="L26" i="7"/>
  <c r="L33" i="7"/>
  <c r="L26" i="29"/>
  <c r="L28" i="29"/>
  <c r="L38" i="29"/>
  <c r="L7" i="29"/>
  <c r="K40" i="8"/>
  <c r="L39" i="8"/>
  <c r="N25" i="2"/>
  <c r="N27" i="2"/>
  <c r="N29" i="2"/>
  <c r="L38" i="7"/>
  <c r="M37" i="7"/>
  <c r="M39" i="7"/>
  <c r="M27" i="29"/>
  <c r="M29" i="29"/>
  <c r="R7" i="19"/>
  <c r="Q10" i="34"/>
  <c r="S29" i="2"/>
  <c r="Q38" i="7"/>
  <c r="R37" i="7"/>
  <c r="R39" i="7"/>
  <c r="Q11" i="34"/>
  <c r="L3" i="19"/>
  <c r="L22" i="7"/>
  <c r="L49" i="8"/>
  <c r="E40" i="8"/>
  <c r="F39" i="8"/>
  <c r="H25" i="2"/>
  <c r="H27" i="2"/>
  <c r="H29" i="2"/>
  <c r="F38" i="7"/>
  <c r="G37" i="7"/>
  <c r="G39" i="7"/>
  <c r="G27" i="29"/>
  <c r="G29" i="29"/>
  <c r="V40" i="8"/>
  <c r="W39" i="8"/>
  <c r="Y25" i="2"/>
  <c r="Y36" i="2"/>
  <c r="Y34" i="2"/>
  <c r="Y38" i="2"/>
  <c r="Y28" i="2"/>
  <c r="W12" i="8"/>
  <c r="Z40" i="8"/>
  <c r="AA39" i="8"/>
  <c r="AC25" i="2"/>
  <c r="AC27" i="2"/>
  <c r="AC29" i="2"/>
  <c r="AA38" i="7"/>
  <c r="AB37" i="7"/>
  <c r="AB39" i="7"/>
  <c r="AB27" i="29"/>
  <c r="AB29" i="29"/>
  <c r="AG31" i="2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D40" i="8"/>
  <c r="AE39" i="8"/>
  <c r="AG25" i="2"/>
  <c r="AG27" i="2"/>
  <c r="AG33" i="2"/>
  <c r="F40" i="8"/>
  <c r="G39" i="8"/>
  <c r="I25" i="2"/>
  <c r="I27" i="2"/>
  <c r="I33" i="2"/>
  <c r="P40" i="8"/>
  <c r="Q39" i="8"/>
  <c r="S25" i="2"/>
  <c r="S27" i="2"/>
  <c r="S33" i="2"/>
  <c r="C40" i="8"/>
  <c r="E25" i="2"/>
  <c r="C11" i="8"/>
  <c r="C15" i="8"/>
  <c r="C19" i="8"/>
  <c r="C7" i="7"/>
  <c r="D7" i="7"/>
  <c r="E7" i="7"/>
  <c r="F7" i="7"/>
  <c r="G7" i="7"/>
  <c r="H7" i="7"/>
  <c r="I7" i="7"/>
  <c r="J7" i="7"/>
  <c r="K7" i="7"/>
  <c r="L7" i="7"/>
  <c r="M7" i="7"/>
  <c r="N7" i="7"/>
  <c r="O7" i="7"/>
  <c r="P7" i="7"/>
  <c r="P11" i="7"/>
  <c r="P18" i="7"/>
  <c r="O16" i="34"/>
  <c r="O19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0" authorId="0" shapeId="0" xr:uid="{3204828C-D0A8-1943-8DD7-FF820FCB556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0" authorId="0" shapeId="0" xr:uid="{312193B9-F17E-C14D-9F37-AF9A4D67A6B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0" authorId="0" shapeId="0" xr:uid="{92C212AE-5B8E-6C46-9A83-B3FE681894A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1" authorId="0" shapeId="0" xr:uid="{DDCE115D-03C9-174C-93D5-4C0DA5C35CF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1" authorId="0" shapeId="0" xr:uid="{FE6E35EC-0DCA-9643-95BC-A33FAEEE07C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1" authorId="0" shapeId="0" xr:uid="{B398EC9F-C603-F34D-91B8-15B1F05B7A1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2" authorId="0" shapeId="0" xr:uid="{1B74B361-E643-6846-A64A-0345408A37A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2" authorId="0" shapeId="0" xr:uid="{FE37516C-0FCC-F144-884C-B6803D6C03C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2" authorId="0" shapeId="0" xr:uid="{882B04B9-C5BB-2440-B130-941D05F8DF7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3" authorId="0" shapeId="0" xr:uid="{0E17F3FC-12EB-344B-A53F-7278A1713A9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3" authorId="0" shapeId="0" xr:uid="{025B920E-A642-4C45-86A6-5167E92705E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3" authorId="0" shapeId="0" xr:uid="{DF174746-4A4B-D545-ABFA-C1B7CB5163D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4" authorId="0" shapeId="0" xr:uid="{FE4F4D50-B039-814D-B8AC-913756F241D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4" authorId="0" shapeId="0" xr:uid="{183E4358-C1A5-D54A-A1AB-88C00523037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4" authorId="0" shapeId="0" xr:uid="{36A95933-13F8-AB46-8CF5-485E189A46E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5" authorId="0" shapeId="0" xr:uid="{F7F83CED-8B5B-5844-9750-826E0666EDB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5" authorId="0" shapeId="0" xr:uid="{6FD02720-46DC-6247-828E-7119FD594D4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5" authorId="0" shapeId="0" xr:uid="{82C5D705-F078-594E-9F56-EFB8CCD858D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6" authorId="0" shapeId="0" xr:uid="{57C51184-D3FA-844C-B985-923399F4382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6" authorId="0" shapeId="0" xr:uid="{7AF3E50D-F3A7-8247-866E-BE758E9A335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6" authorId="0" shapeId="0" xr:uid="{C42C15AA-53F3-0C49-BF2B-8E2F271459F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7" authorId="0" shapeId="0" xr:uid="{AD7A191B-6993-B24D-B91C-CAC8E93E471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7" authorId="0" shapeId="0" xr:uid="{2380185A-242A-1744-BC8C-8552BC8262A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7" authorId="0" shapeId="0" xr:uid="{A79DA368-63B5-4A46-A654-3F28E0101A7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8" authorId="0" shapeId="0" xr:uid="{30F1AC54-B136-6640-95FE-2E7CAC607E3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8" authorId="0" shapeId="0" xr:uid="{E5C217A6-E6E4-C64B-917A-F5F14223FCE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8" authorId="0" shapeId="0" xr:uid="{E0C25796-E1E9-5E48-8864-92AD7B66237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9" authorId="0" shapeId="0" xr:uid="{6B8B51E9-7083-3A49-B29C-93D94DCC768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9" authorId="0" shapeId="0" xr:uid="{AD488CAF-692F-0349-B6ED-D9AA4F67A37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9" authorId="0" shapeId="0" xr:uid="{5D8CBAD9-9C22-2744-B592-CEB0A1F98E4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0" authorId="0" shapeId="0" xr:uid="{934842C3-B437-5F47-BBCD-799EBFBBEA4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0" authorId="0" shapeId="0" xr:uid="{A92C4AF7-BE74-5B44-A728-7A66E3FBD8D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0" authorId="0" shapeId="0" xr:uid="{72F46C7A-9A52-A742-9745-1A95AE99CD9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1" authorId="0" shapeId="0" xr:uid="{A5E7C34E-307B-F440-90F5-D0F3D1AD887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1" authorId="0" shapeId="0" xr:uid="{ADBDEDE8-FD7E-1540-BF17-7B270DCDE7C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1" authorId="0" shapeId="0" xr:uid="{9887A6A9-927D-A848-8BEC-34EF7189746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2" authorId="0" shapeId="0" xr:uid="{49A8E2D0-B75E-DC4C-8285-34FB09A0128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2" authorId="0" shapeId="0" xr:uid="{98B1B2F7-1623-6B4D-BF36-BC04E152F4F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2" authorId="0" shapeId="0" xr:uid="{A8634CD8-17F8-2041-8D24-573BDFB540C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3" authorId="0" shapeId="0" xr:uid="{63471EC8-D611-3547-8DEA-A5ED0488FD5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3" authorId="0" shapeId="0" xr:uid="{9232CE90-0CE9-0740-995D-92D7DECD059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3" authorId="0" shapeId="0" xr:uid="{45D6BDF9-9741-7D4A-8FFC-18F4C526F1F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4" authorId="0" shapeId="0" xr:uid="{67495E73-06C9-864D-8469-645EE480319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4" authorId="0" shapeId="0" xr:uid="{66C6FCEB-EAB3-4A40-8CD4-74CDD612185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4" authorId="0" shapeId="0" xr:uid="{DBB48E31-61EA-474E-9DD3-6B55CC8B5D3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5" authorId="0" shapeId="0" xr:uid="{CDF85FF3-9D64-754F-AFCE-EA560E15EC6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5" authorId="0" shapeId="0" xr:uid="{CCA7FF6C-D833-484D-A676-5DD6C787969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5" authorId="0" shapeId="0" xr:uid="{65962E9F-A7B8-3248-8FDC-102A7891107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6" authorId="0" shapeId="0" xr:uid="{380175D5-0A2D-1F43-8D48-2ACF58F0358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6" authorId="0" shapeId="0" xr:uid="{8BE68536-F3A4-B04B-9931-D413061D825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6" authorId="0" shapeId="0" xr:uid="{7D88CF6D-6C47-4F41-A8E9-BA42ABD1B20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7" authorId="0" shapeId="0" xr:uid="{7A4D1D0A-FC1C-5E43-9058-3284C26FE8A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7" authorId="0" shapeId="0" xr:uid="{22C964AE-0192-1342-B5C6-085150EF694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7" authorId="0" shapeId="0" xr:uid="{AF02401B-5AB9-3C42-AE1B-3B40B4B649C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8" authorId="0" shapeId="0" xr:uid="{12E023A3-10FF-CB48-844C-EE8D6409682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8" authorId="0" shapeId="0" xr:uid="{669B1EEA-AB12-BA42-9FAE-8A78D486F9C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8" authorId="0" shapeId="0" xr:uid="{FC048620-8134-C344-851C-0C5423F9BEE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9" authorId="0" shapeId="0" xr:uid="{83211401-78EF-5243-874E-133B25208EA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9" authorId="0" shapeId="0" xr:uid="{474C39E6-53A0-7640-B509-F2BC4CCD8D7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9" authorId="0" shapeId="0" xr:uid="{90F0ED4A-4BF7-BC40-BEE6-636B8CF6544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30" authorId="0" shapeId="0" xr:uid="{42D2A9DC-D97E-A945-ACCC-4910891F5BD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30" authorId="0" shapeId="0" xr:uid="{10B7B93A-8BE8-2A40-9895-00994762F76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30" authorId="0" shapeId="0" xr:uid="{7088FE52-549F-FB48-B2FF-D4F3519E683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31" authorId="0" shapeId="0" xr:uid="{61518DD8-7317-4E45-AA39-344370C981E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31" authorId="0" shapeId="0" xr:uid="{02A547B6-493E-6A4B-81CA-F689F4D6495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31" authorId="0" shapeId="0" xr:uid="{23AB3907-0211-2047-B961-929371F67CA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32" authorId="0" shapeId="0" xr:uid="{F9F24FD8-CE9D-DD4D-85BC-D95E4739B9D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32" authorId="0" shapeId="0" xr:uid="{9AA4A41C-9B25-B840-9A6E-D3E578EDF20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32" authorId="0" shapeId="0" xr:uid="{2EBE9FC9-9D27-0F45-92E7-3CF7217C53F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33" authorId="0" shapeId="0" xr:uid="{DCE497B4-5B76-1143-A175-5E8A3FEE7C8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33" authorId="0" shapeId="0" xr:uid="{A9C5B817-0CC5-C54B-B51C-8EBD678EDE5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33" authorId="0" shapeId="0" xr:uid="{6C331E6D-2BE3-CE4C-8233-285E3FD3137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34" authorId="0" shapeId="0" xr:uid="{9DE4D716-1924-2B4F-9CEE-85B4DAE8EC2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34" authorId="0" shapeId="0" xr:uid="{8469A4B3-773B-6445-BBE1-F593FB36CFE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34" authorId="0" shapeId="0" xr:uid="{EFF24565-0326-FF45-BBDC-57A3BE39E6B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35" authorId="0" shapeId="0" xr:uid="{431307D0-A179-E148-B5F5-BA64EF51A36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35" authorId="0" shapeId="0" xr:uid="{4C92B156-FE15-AB44-AE19-B515F803532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35" authorId="0" shapeId="0" xr:uid="{3AE8F5ED-7E3B-3845-8A14-C16CBBCE672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36" authorId="0" shapeId="0" xr:uid="{70B23E6D-CE3F-D74B-9701-C38EB1BE682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36" authorId="0" shapeId="0" xr:uid="{25008BA2-7A06-F347-87D4-2624021A5BF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36" authorId="0" shapeId="0" xr:uid="{77471D78-7EB0-E647-B3B0-FCD7C76CFD7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37" authorId="0" shapeId="0" xr:uid="{273E2EFB-0747-1540-B5FD-FC40C35A302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37" authorId="0" shapeId="0" xr:uid="{C01FA6DB-70AF-2D4F-9D46-98A47B1659E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37" authorId="0" shapeId="0" xr:uid="{22B2E638-8E24-DC44-AAFD-2D8C8129CE9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38" authorId="0" shapeId="0" xr:uid="{D29F61B2-B536-A849-8ACB-36A725BDE78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38" authorId="0" shapeId="0" xr:uid="{343F65C4-7824-BF40-9558-F522FB8C00E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38" authorId="0" shapeId="0" xr:uid="{A28F5252-2E4F-6A4C-8C41-DADB80819C6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39" authorId="0" shapeId="0" xr:uid="{B1A04B3B-01B9-9143-9F77-46AFB1BBDD6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39" authorId="0" shapeId="0" xr:uid="{105FBC6D-0B4E-7F4C-8D0E-C150E8A1479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39" authorId="0" shapeId="0" xr:uid="{FE9C6B33-7D92-464B-9377-C8E91E1CF6C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40" authorId="0" shapeId="0" xr:uid="{822127D3-794E-B244-A765-22C13F4AEE9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40" authorId="0" shapeId="0" xr:uid="{46A3146F-DBEE-D04F-9B2D-2009A6F43FC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40" authorId="0" shapeId="0" xr:uid="{FC38F29D-3733-9B49-9A2B-23725651039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41" authorId="0" shapeId="0" xr:uid="{DEAFC40C-293C-534D-8929-C6807F0F2C2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41" authorId="0" shapeId="0" xr:uid="{6E8A8600-3DC7-4D41-904C-6BEE6445993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41" authorId="0" shapeId="0" xr:uid="{F65D1EA3-E5F7-374A-8F35-CCF2F6E1465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42" authorId="0" shapeId="0" xr:uid="{89FEB9C0-202F-AA4B-94FB-09CA1D9037D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42" authorId="0" shapeId="0" xr:uid="{6A0A02DC-11DF-6640-953C-94AE59EA4EF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42" authorId="0" shapeId="0" xr:uid="{D5A41F1A-B4CB-344F-B2A8-57BBE3A07A0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43" authorId="0" shapeId="0" xr:uid="{914A6ED0-5E28-1848-9AC0-292CAC74744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43" authorId="0" shapeId="0" xr:uid="{6BF95828-C2A7-5440-8DA4-6610793D973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43" authorId="0" shapeId="0" xr:uid="{06D05812-CD63-9044-8B08-6C12BD947CD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44" authorId="0" shapeId="0" xr:uid="{7290B1B1-17EA-C04F-8D44-838BA35BE44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44" authorId="0" shapeId="0" xr:uid="{19734D30-D525-974D-AE40-C10FE1219BA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44" authorId="0" shapeId="0" xr:uid="{8E626F53-7EEC-9047-8E6C-14580C6E4D7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45" authorId="0" shapeId="0" xr:uid="{D9955B26-0D39-2A42-93C6-29915641E97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45" authorId="0" shapeId="0" xr:uid="{02629E21-D566-B54F-BC20-B972B08229B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45" authorId="0" shapeId="0" xr:uid="{6592D7E7-F8E0-FA4F-98AD-A0680D82E99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46" authorId="0" shapeId="0" xr:uid="{D0BEC2A7-383D-2D4B-84AC-7FCCDC01E3B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46" authorId="0" shapeId="0" xr:uid="{7E24C58A-846A-9546-A115-600F7EDD04D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46" authorId="0" shapeId="0" xr:uid="{15B86C64-6D26-2B4E-A5CB-46BC6E4C3BF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47" authorId="0" shapeId="0" xr:uid="{E6CA633C-19DF-1A45-8DAB-54D98B21D54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47" authorId="0" shapeId="0" xr:uid="{CCCC8B8C-5B16-7F41-A6F2-B2FF32A6AF1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47" authorId="0" shapeId="0" xr:uid="{61CCEC11-B97F-C249-9CC9-7AF269D03E3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48" authorId="0" shapeId="0" xr:uid="{D82A6C77-9378-C84E-9B6F-9F6845C855A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48" authorId="0" shapeId="0" xr:uid="{673A0AB7-187B-8D4E-8E46-48926488FEB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48" authorId="0" shapeId="0" xr:uid="{B58C8AD7-91C6-E54D-BE8B-9B0DE4B43BB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49" authorId="0" shapeId="0" xr:uid="{203A90E9-A3F1-2044-ADDD-505C4863369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49" authorId="0" shapeId="0" xr:uid="{91C9E2FA-131A-E741-83AE-7AD038BDF56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49" authorId="0" shapeId="0" xr:uid="{1C6646B5-D2D9-EB46-B01D-ABB7F994BC3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50" authorId="0" shapeId="0" xr:uid="{A844EF91-54FE-3842-81A1-C826687FA6C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50" authorId="0" shapeId="0" xr:uid="{376510B3-CCFE-424A-B402-5C473D2BFE3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50" authorId="0" shapeId="0" xr:uid="{489D3FAE-0CBE-C84C-8E88-D748D36EC00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51" authorId="0" shapeId="0" xr:uid="{FE2D27E0-F0AA-294F-B55D-4B323E77F70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51" authorId="0" shapeId="0" xr:uid="{6BC02162-3522-3643-AAC2-D5F74CE7CE1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51" authorId="0" shapeId="0" xr:uid="{D42ABAE7-71B1-764A-B0AD-C402753A427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52" authorId="0" shapeId="0" xr:uid="{02E69372-B4FD-BF45-8B15-9D898B80DD2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52" authorId="0" shapeId="0" xr:uid="{EC62529A-940C-0A47-9161-E8B254D32AA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52" authorId="0" shapeId="0" xr:uid="{7C4E2E9E-3278-0E4A-83A9-A05B66415A1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53" authorId="0" shapeId="0" xr:uid="{30C9C819-D4F4-3E40-823B-DDA03A3893D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53" authorId="0" shapeId="0" xr:uid="{850E2FF9-EB39-6F40-B2B1-4BFF3B2A540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53" authorId="0" shapeId="0" xr:uid="{DF27701E-F434-3543-9A61-12B0CB28F2D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54" authorId="0" shapeId="0" xr:uid="{6953C077-7290-2541-8330-FB214C4C6D5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54" authorId="0" shapeId="0" xr:uid="{1321DC78-9B8E-FE41-A1D3-A35164FB0CB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54" authorId="0" shapeId="0" xr:uid="{7B0E40C2-1ABF-B048-8511-1E7397EF822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55" authorId="0" shapeId="0" xr:uid="{9EC4FFD7-88BD-B343-8F36-9F7C277FE28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55" authorId="0" shapeId="0" xr:uid="{08E41084-D153-0848-8E23-296A24496C6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55" authorId="0" shapeId="0" xr:uid="{2EA1E9C6-A2DC-1242-A987-E9CBEB18453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56" authorId="0" shapeId="0" xr:uid="{0002E921-924C-104C-AF51-EA6CBA0DA83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56" authorId="0" shapeId="0" xr:uid="{CD8005B9-5F56-4D4C-B654-52708ECD9AF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56" authorId="0" shapeId="0" xr:uid="{28BF06BC-FD11-D84D-B2C6-68A412E36DB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57" authorId="0" shapeId="0" xr:uid="{AFC2D494-E47B-1E43-8ECF-8A5047406C5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57" authorId="0" shapeId="0" xr:uid="{961E897E-A8EA-B54A-B423-6C3404C1DA0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57" authorId="0" shapeId="0" xr:uid="{7BF06C6E-7192-A844-A998-C9898A8B1A6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58" authorId="0" shapeId="0" xr:uid="{D242BF9B-5B2F-F446-879B-177E43AFB52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58" authorId="0" shapeId="0" xr:uid="{A68E9043-B4A2-1745-BB34-B3CCD9466F7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58" authorId="0" shapeId="0" xr:uid="{8D125D6F-C77F-4E4D-B9D7-BF7CA8DC3F5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59" authorId="0" shapeId="0" xr:uid="{38F3F05D-5054-884B-B748-3A0AE062DAC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59" authorId="0" shapeId="0" xr:uid="{F45678B7-C0A2-704B-819F-09BC2AE9545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59" authorId="0" shapeId="0" xr:uid="{49CE2A3B-9702-EC46-826E-4C21E5688CF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60" authorId="0" shapeId="0" xr:uid="{640FF814-86D0-6142-AA5A-09B557B8098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60" authorId="0" shapeId="0" xr:uid="{694C502E-7869-574D-81A6-3B1B38B04FA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60" authorId="0" shapeId="0" xr:uid="{426F8B37-6BC4-CA4B-8470-604D6BA042E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61" authorId="0" shapeId="0" xr:uid="{C8F1471F-BDBD-134F-BDAA-5A111A9648F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61" authorId="0" shapeId="0" xr:uid="{59CD869D-01CF-8D48-9ECF-624F0DDAC5E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61" authorId="0" shapeId="0" xr:uid="{C0DDB269-2558-C446-9005-78C3A89B435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62" authorId="0" shapeId="0" xr:uid="{661F0182-5514-044A-BE57-732363954BF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62" authorId="0" shapeId="0" xr:uid="{B92D08AB-E88F-7440-88AB-801CD669C49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62" authorId="0" shapeId="0" xr:uid="{5F103F8E-4E7E-D346-B258-BC4A57DB65E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63" authorId="0" shapeId="0" xr:uid="{29BB0715-D38A-2046-8C28-2F8AD84E2E4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63" authorId="0" shapeId="0" xr:uid="{004FABEA-DAF9-434C-A46B-B24623F4579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63" authorId="0" shapeId="0" xr:uid="{1713E950-80EB-E14A-9BEC-A831CE9B46B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64" authorId="0" shapeId="0" xr:uid="{451ECC13-45FA-3740-9E63-3969B1F4B9B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64" authorId="0" shapeId="0" xr:uid="{58284800-6EB5-1542-853D-3CC78BA4356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64" authorId="0" shapeId="0" xr:uid="{5A166DA2-06D5-414D-83B3-04D5E736A4A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65" authorId="0" shapeId="0" xr:uid="{AB495FF8-F4C4-CE4C-982E-CEAD0C0E315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65" authorId="0" shapeId="0" xr:uid="{FC7D79D5-2756-4B4E-B45C-A74020E84B6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65" authorId="0" shapeId="0" xr:uid="{71542407-E984-D446-9F33-8CC13128675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66" authorId="0" shapeId="0" xr:uid="{04E22E92-585F-064A-BAF7-B47B063091F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66" authorId="0" shapeId="0" xr:uid="{3E7155F7-38A4-F047-9D72-C6506B7892D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66" authorId="0" shapeId="0" xr:uid="{F3C1285D-2946-E545-8211-C14C6CE754B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67" authorId="0" shapeId="0" xr:uid="{EC08BFED-4176-5F49-A424-B8E6E05F69C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67" authorId="0" shapeId="0" xr:uid="{206DBB60-F5F8-2940-839D-4CBFD8F2CAB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67" authorId="0" shapeId="0" xr:uid="{1616D9E5-02F3-7840-9071-E1196E39EB9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68" authorId="0" shapeId="0" xr:uid="{0ACEAA3F-3577-294E-BBFF-669807B2CD2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68" authorId="0" shapeId="0" xr:uid="{FCCDBC8F-16B5-874B-B240-E33FD83277E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68" authorId="0" shapeId="0" xr:uid="{E728862A-6625-0145-916D-652C2AC9DE3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69" authorId="0" shapeId="0" xr:uid="{93A96953-6B9A-DF4B-8BB1-8028C05136B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69" authorId="0" shapeId="0" xr:uid="{3B94A32C-9DC7-F946-A6DD-28973976A63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69" authorId="0" shapeId="0" xr:uid="{22BA8B62-D83B-8043-82BE-64FDB0C7E66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70" authorId="0" shapeId="0" xr:uid="{6E1338E8-DBF6-F245-A2FA-E46B092299A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70" authorId="0" shapeId="0" xr:uid="{F40F05AD-CDD1-0B41-90A2-C8FEC63816A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70" authorId="0" shapeId="0" xr:uid="{FD07BCDF-2D11-6340-A227-DE87B0A7F2E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71" authorId="0" shapeId="0" xr:uid="{7524D894-169E-1642-ADFA-2E9DED7B089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71" authorId="0" shapeId="0" xr:uid="{DBB71DF3-5B8F-BE4A-83D0-02742DC1123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71" authorId="0" shapeId="0" xr:uid="{6CABF5C0-0071-8243-9C60-5B26FB2A2ED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72" authorId="0" shapeId="0" xr:uid="{09DB17CB-C160-A64B-8114-458495EB5C4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72" authorId="0" shapeId="0" xr:uid="{B94F6F70-B65E-9A4F-8B9F-A1A72A33010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72" authorId="0" shapeId="0" xr:uid="{C27792F2-408F-5B4E-A8D0-6FE78C206D7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73" authorId="0" shapeId="0" xr:uid="{CDD35C41-FCDB-8747-A57A-0FBF3D2BFD3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73" authorId="0" shapeId="0" xr:uid="{BC392754-F788-8B47-84F4-FFEFEB81E94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73" authorId="0" shapeId="0" xr:uid="{EB6DCACF-509A-BE45-9523-B4B2F76C3B4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74" authorId="0" shapeId="0" xr:uid="{C77E1A05-6A23-7E42-8845-62BFA8CBEAA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74" authorId="0" shapeId="0" xr:uid="{2CC40ACF-8883-B84E-8A0B-F956E5C60E4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74" authorId="0" shapeId="0" xr:uid="{98805C1E-2B2D-F24D-9EFD-BB1650E5460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75" authorId="0" shapeId="0" xr:uid="{BB628CDB-7F48-D047-A5C2-B89AB67061E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75" authorId="0" shapeId="0" xr:uid="{4AD6CCEB-6A4C-E243-A8D2-A0259F92652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75" authorId="0" shapeId="0" xr:uid="{5FE0834C-5177-CB47-9535-3023EE69769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76" authorId="0" shapeId="0" xr:uid="{4421E62C-19E8-654C-869A-02E766C8CD4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76" authorId="0" shapeId="0" xr:uid="{33CE7084-FD92-8449-BD1E-0272475E00F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76" authorId="0" shapeId="0" xr:uid="{A080DF09-9BEE-F441-A59D-F81EA17B8C8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77" authorId="0" shapeId="0" xr:uid="{11C8CD3C-D872-8644-844B-764FFFA6610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77" authorId="0" shapeId="0" xr:uid="{AEF34785-E284-934F-B1EB-B8553D15246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77" authorId="0" shapeId="0" xr:uid="{5E0CA0BD-6F51-624E-B6FD-A3CB63292A2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78" authorId="0" shapeId="0" xr:uid="{1931E45B-EE02-4840-93FC-9228C7F201F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78" authorId="0" shapeId="0" xr:uid="{CEC9BE6F-4727-8846-A558-1A9DFBC1E69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78" authorId="0" shapeId="0" xr:uid="{AEBD60A0-A231-8543-A0CD-0353A458AFD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79" authorId="0" shapeId="0" xr:uid="{FC5E2FEC-74D3-F74F-AA12-771DFAB752A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79" authorId="0" shapeId="0" xr:uid="{C6F5EBF0-0652-DD42-B8B4-7594A93BF76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79" authorId="0" shapeId="0" xr:uid="{2F650489-E749-0C44-82DB-25A657C2463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80" authorId="0" shapeId="0" xr:uid="{27D25F7D-1B88-344D-8795-C85DEA9E156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80" authorId="0" shapeId="0" xr:uid="{B57013A9-7185-094E-8771-E6578E9101A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80" authorId="0" shapeId="0" xr:uid="{600BA797-1430-7440-8517-285D6E536BE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81" authorId="0" shapeId="0" xr:uid="{FFF61FDF-B52D-B341-A795-80C8B080053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81" authorId="0" shapeId="0" xr:uid="{CC4F2243-3A72-374B-BF3E-6625FD1BF19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81" authorId="0" shapeId="0" xr:uid="{D369AC8B-803C-BC4A-9B63-687C7B87ED2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82" authorId="0" shapeId="0" xr:uid="{A664C068-18A0-4242-AF19-47F980820D4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82" authorId="0" shapeId="0" xr:uid="{0E0A0974-0FF1-314F-ACF1-E65A5D2D57C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82" authorId="0" shapeId="0" xr:uid="{53790059-2C6D-CD4D-BD01-F5554D90A6F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83" authorId="0" shapeId="0" xr:uid="{A02DBA6E-AFAD-4F43-BB63-15990A3F3BA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83" authorId="0" shapeId="0" xr:uid="{B5B91C55-EBBA-BF46-A510-4FD5FB0EDAD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83" authorId="0" shapeId="0" xr:uid="{9468DA39-9034-DB4B-8833-196DCEFC158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84" authorId="0" shapeId="0" xr:uid="{C088844B-A3D1-594F-9852-A570A230DD7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84" authorId="0" shapeId="0" xr:uid="{0DF287BC-634D-2F4E-AB62-DF000F0FBA5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84" authorId="0" shapeId="0" xr:uid="{C01013A8-58F8-FC4D-BDDF-287CF94DF85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85" authorId="0" shapeId="0" xr:uid="{4BED17C8-F2E8-AE4C-83B5-EC964EF917F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85" authorId="0" shapeId="0" xr:uid="{D34914AA-DBAC-0E4E-8A20-A63ABF251A4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85" authorId="0" shapeId="0" xr:uid="{C7FCBE40-80FB-5D47-B5E1-8263F9202CF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86" authorId="0" shapeId="0" xr:uid="{730581DC-EBFF-8442-B219-7B3F6E4A47E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86" authorId="0" shapeId="0" xr:uid="{120BF288-EBDE-EB44-9634-627F3F3D689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86" authorId="0" shapeId="0" xr:uid="{21EF882D-9A23-9449-BB8B-F66DDF3A18E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87" authorId="0" shapeId="0" xr:uid="{2346ECD9-FF30-964A-B155-490CEFAA4F0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87" authorId="0" shapeId="0" xr:uid="{3CDC8897-3548-C74A-B6F1-313F65EABE5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87" authorId="0" shapeId="0" xr:uid="{C7FE5CFF-6021-6D49-A8B0-0C4AD0E8CFE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88" authorId="0" shapeId="0" xr:uid="{34E72981-6870-DD4E-977B-0F9643418BD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88" authorId="0" shapeId="0" xr:uid="{31DD2219-6F39-D946-A6D6-3D40642499F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88" authorId="0" shapeId="0" xr:uid="{FA8701F7-A0FB-8D47-B609-8FD65904169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89" authorId="0" shapeId="0" xr:uid="{F5594BC2-19CE-8B49-8686-AE98750B694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89" authorId="0" shapeId="0" xr:uid="{F8B6A1CE-163C-A448-AC94-F1DE0767DEE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89" authorId="0" shapeId="0" xr:uid="{10E93DB1-933F-664C-84ED-B14EB5B8354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90" authorId="0" shapeId="0" xr:uid="{718DB7A6-8A85-0748-88B9-B571EFCB77E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90" authorId="0" shapeId="0" xr:uid="{E61417D3-5C47-F942-836A-47BA53242C6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90" authorId="0" shapeId="0" xr:uid="{7F539701-665C-0048-B1D2-1076D5571FB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91" authorId="0" shapeId="0" xr:uid="{ED02665C-47E5-474F-BA7D-7E3F2419393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91" authorId="0" shapeId="0" xr:uid="{AD3F8EEB-CCAE-314A-976E-DA76EDDC306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91" authorId="0" shapeId="0" xr:uid="{D8D1E2F2-CFB5-F241-8EBB-01A0D9CCB5E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92" authorId="0" shapeId="0" xr:uid="{F5F0E122-AC21-1949-842E-43A5EB3CA3B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92" authorId="0" shapeId="0" xr:uid="{22168990-7D85-194D-B377-201810DA8F7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92" authorId="0" shapeId="0" xr:uid="{D052E1EF-393A-864B-BB03-CD15C4BEB6C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93" authorId="0" shapeId="0" xr:uid="{177D568B-AA97-FF49-9C88-DC651AFC9EF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93" authorId="0" shapeId="0" xr:uid="{2DDB83B2-4DD3-1D48-B902-934413E787B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93" authorId="0" shapeId="0" xr:uid="{0C738FFF-27D2-B342-848D-680724C8293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94" authorId="0" shapeId="0" xr:uid="{226A1FC2-D15C-BB4D-B767-5E25CAF7B33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94" authorId="0" shapeId="0" xr:uid="{D9F6B992-CA03-CA43-8CAD-CEA83C70C44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94" authorId="0" shapeId="0" xr:uid="{ABB3CBB8-C96F-2C41-A35A-9482B19E085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95" authorId="0" shapeId="0" xr:uid="{501F3F6E-680C-C447-923D-FF9F8CBB5A2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95" authorId="0" shapeId="0" xr:uid="{9F9ED5CB-D995-6543-B25C-64E06BCEAB3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95" authorId="0" shapeId="0" xr:uid="{CFC839F7-ECB0-4F4D-9EC1-A5C257E2174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96" authorId="0" shapeId="0" xr:uid="{192686C7-5164-FC4E-981F-D743AB8CC0B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96" authorId="0" shapeId="0" xr:uid="{491028EC-6384-CF40-B7E9-2A62C05BD1C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96" authorId="0" shapeId="0" xr:uid="{BF66C171-32C6-4145-965E-B7B756CCFE4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97" authorId="0" shapeId="0" xr:uid="{EB6AF018-7B92-6D43-B303-4B13AC4D218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97" authorId="0" shapeId="0" xr:uid="{C1ABC1F5-A2E8-0243-86F6-48D92DA776B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97" authorId="0" shapeId="0" xr:uid="{82EFFC16-21AB-1349-A479-60B1508756A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98" authorId="0" shapeId="0" xr:uid="{73721B27-EA8D-6748-8CDB-01B17D06AD0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98" authorId="0" shapeId="0" xr:uid="{F8904A27-D746-ED40-8266-AE73E08F356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98" authorId="0" shapeId="0" xr:uid="{60E1D293-E2D7-ED4F-B153-B69E196A26A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99" authorId="0" shapeId="0" xr:uid="{A13558A0-74BB-DC4F-A03E-643AD0361D1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99" authorId="0" shapeId="0" xr:uid="{8B462BDA-304E-9347-8CEC-2E0AB892C0D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99" authorId="0" shapeId="0" xr:uid="{3E4475EE-F98F-D141-B74E-90554210D72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00" authorId="0" shapeId="0" xr:uid="{1A9D0A57-8D11-4442-8D00-9992D5D8934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00" authorId="0" shapeId="0" xr:uid="{F533001E-1759-654F-850F-1D9239592C7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00" authorId="0" shapeId="0" xr:uid="{9A679D9D-ED5B-B246-8B13-006E91879A7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01" authorId="0" shapeId="0" xr:uid="{4167C026-22A6-0E49-BD9F-9221F6B9348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01" authorId="0" shapeId="0" xr:uid="{CCB7DC94-9FFC-744D-BF37-78F8A424270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01" authorId="0" shapeId="0" xr:uid="{35D9178E-D4DE-AE4F-A6F5-805CD1F6014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02" authorId="0" shapeId="0" xr:uid="{DF269481-6F73-2344-9474-0141DE86148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02" authorId="0" shapeId="0" xr:uid="{2D390187-4320-3D40-9FE0-444DD1633AD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02" authorId="0" shapeId="0" xr:uid="{01D076BD-A8CE-7341-91E0-B6630EF34A9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03" authorId="0" shapeId="0" xr:uid="{628916F5-7922-3B46-A830-76BDAC83A32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03" authorId="0" shapeId="0" xr:uid="{60DCD917-5840-DC40-8AF2-3C607062533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03" authorId="0" shapeId="0" xr:uid="{F78AD9C5-4B12-114E-9980-1007922B644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04" authorId="0" shapeId="0" xr:uid="{4DA77BC0-064C-144A-A031-6B3BA300BC5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04" authorId="0" shapeId="0" xr:uid="{89FABC54-3612-5E4C-BFBD-1374318C19C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04" authorId="0" shapeId="0" xr:uid="{1E5899CC-2F1B-5841-B1E2-581699F2BD5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05" authorId="0" shapeId="0" xr:uid="{8B38445D-1C86-F04E-8A62-330352125F5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05" authorId="0" shapeId="0" xr:uid="{FFA04E62-CA09-B144-9F8D-940C27439FF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05" authorId="0" shapeId="0" xr:uid="{59145EF7-A932-2B46-9C14-055B714BC18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06" authorId="0" shapeId="0" xr:uid="{96DD171B-2FEB-4946-A047-7B494076F55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06" authorId="0" shapeId="0" xr:uid="{65F87F66-A8FA-7F41-9E26-B4BB5B6438A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06" authorId="0" shapeId="0" xr:uid="{B83C16DB-8413-AF42-9209-ECAB7DF7DCA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07" authorId="0" shapeId="0" xr:uid="{A5975023-3BFB-5E4F-99F1-5A64668B5C7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07" authorId="0" shapeId="0" xr:uid="{7DDF83D6-BEFA-3C47-A147-A61699963BC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07" authorId="0" shapeId="0" xr:uid="{8B26AD9D-D5C2-A642-BAAD-8C61BEE6415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08" authorId="0" shapeId="0" xr:uid="{37415AED-A504-BD4A-A3AF-2428B82AE33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08" authorId="0" shapeId="0" xr:uid="{501B89B1-1028-6F43-B219-EB6D6EE5F90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08" authorId="0" shapeId="0" xr:uid="{23F04011-8313-5149-817F-1C4693C6B72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09" authorId="0" shapeId="0" xr:uid="{48241697-843A-DA4E-83E0-86501C98E90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09" authorId="0" shapeId="0" xr:uid="{8C05F0D2-60D1-3747-8A5D-A1F7BEBA8BA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09" authorId="0" shapeId="0" xr:uid="{1C51CA98-561B-3D4D-83F9-42A43C176B9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10" authorId="0" shapeId="0" xr:uid="{EC99B5E9-440B-2645-9397-DD9BEEC8ED7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10" authorId="0" shapeId="0" xr:uid="{386311A0-D742-A44E-845C-9EDEFE038B7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10" authorId="0" shapeId="0" xr:uid="{2910A684-3589-B041-A44E-1CAF25ADF23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11" authorId="0" shapeId="0" xr:uid="{9AFC87E3-FADC-CC4D-A6A5-80022B1CB48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11" authorId="0" shapeId="0" xr:uid="{A0962CD3-73A7-6346-809E-588E6B4ECF1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11" authorId="0" shapeId="0" xr:uid="{CDCCDBA4-1805-5943-9FBA-0F5E3D698D3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12" authorId="0" shapeId="0" xr:uid="{675B6DAA-98CB-0A46-90CC-7B581351546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12" authorId="0" shapeId="0" xr:uid="{D9D5E95E-ADE5-3B4B-864F-C4E913AB658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12" authorId="0" shapeId="0" xr:uid="{7C603485-5648-4E47-B23E-883C74DA051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13" authorId="0" shapeId="0" xr:uid="{DBEA7F7F-527A-9246-B865-FDE9507BD82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13" authorId="0" shapeId="0" xr:uid="{5B586261-E82B-F34B-9C4F-8C4CFB18833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13" authorId="0" shapeId="0" xr:uid="{B5D84AA6-A840-BF4C-915E-A6678825726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14" authorId="0" shapeId="0" xr:uid="{84331740-8FD0-4F49-8BA9-DBC46E20091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14" authorId="0" shapeId="0" xr:uid="{02EBE99D-D896-A44D-9BF8-DC5D3FA5DEC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14" authorId="0" shapeId="0" xr:uid="{188C840D-E981-B04B-8F10-AD3769B5246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15" authorId="0" shapeId="0" xr:uid="{64EAC352-9FEF-9F46-90B5-E28BDA32251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15" authorId="0" shapeId="0" xr:uid="{E96786D7-104D-D949-A578-6FC3CD73D16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15" authorId="0" shapeId="0" xr:uid="{5EDD6801-BB18-BD4F-9868-814CB1C37B7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16" authorId="0" shapeId="0" xr:uid="{0601E854-07C3-7C40-A96F-DD320A8F2BF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16" authorId="0" shapeId="0" xr:uid="{7EFC9C0A-950C-DA40-9BBF-80F79309DAB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16" authorId="0" shapeId="0" xr:uid="{12E9B6A5-479F-B949-8AF7-3E428A3C6D1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17" authorId="0" shapeId="0" xr:uid="{2F5672A4-8E49-E54A-BB3A-8FAB85799D1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17" authorId="0" shapeId="0" xr:uid="{3BE9E831-63E4-1B44-A605-E2056E81C8C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17" authorId="0" shapeId="0" xr:uid="{D4D9F880-F43A-6B43-9BD1-0500A6711D9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18" authorId="0" shapeId="0" xr:uid="{7FC66C73-1156-1F4A-B793-B2221F1F2C9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18" authorId="0" shapeId="0" xr:uid="{93D633DD-EE20-1749-8E52-00C848803EC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18" authorId="0" shapeId="0" xr:uid="{B7E1774F-0E36-364C-8304-D9D9CC83EBF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19" authorId="0" shapeId="0" xr:uid="{E9AAAE31-A48D-0C48-8592-0A71B527FD9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19" authorId="0" shapeId="0" xr:uid="{7A1BDCE3-C210-6547-86E7-4F3FEA746D6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19" authorId="0" shapeId="0" xr:uid="{70A5B5F1-1471-9048-865F-06E3B5213E1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20" authorId="0" shapeId="0" xr:uid="{48C26182-C3F0-C048-9C40-68443648A8B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20" authorId="0" shapeId="0" xr:uid="{BDC021A1-4E36-6644-BA45-F2E21C5CBEC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20" authorId="0" shapeId="0" xr:uid="{FA44C0A0-4F39-3649-848A-780C220D323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21" authorId="0" shapeId="0" xr:uid="{3DBF79AA-6934-E04C-A3FF-C1F73600FAE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21" authorId="0" shapeId="0" xr:uid="{C0BE0104-F293-2F4E-88C0-BCE2AA59B26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21" authorId="0" shapeId="0" xr:uid="{BD9B260D-76A1-0543-BE24-131184DBAD8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22" authorId="0" shapeId="0" xr:uid="{EF9B577E-6263-9243-BD41-AABADB68405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22" authorId="0" shapeId="0" xr:uid="{6F6C8584-B0CE-714A-84A0-FBD39EA81B2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22" authorId="0" shapeId="0" xr:uid="{225A472E-1D7C-1B4E-95C7-2795DDD4433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23" authorId="0" shapeId="0" xr:uid="{75E24E69-7068-9A44-A3FB-7C45044B397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23" authorId="0" shapeId="0" xr:uid="{48EF8D15-BA67-104F-B574-56B3028F780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23" authorId="0" shapeId="0" xr:uid="{E4A7BBED-26FE-7A42-B512-415EA17159C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24" authorId="0" shapeId="0" xr:uid="{D9397785-EABA-BF49-B8CE-A02403DB17C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24" authorId="0" shapeId="0" xr:uid="{E3652C65-043C-E54C-999A-A19DC81268D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24" authorId="0" shapeId="0" xr:uid="{80E18150-852B-8D4E-965F-DFD5F062E69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25" authorId="0" shapeId="0" xr:uid="{B8181A76-88C4-384B-B3CF-67418A5A963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25" authorId="0" shapeId="0" xr:uid="{A55BB462-1DF7-8D47-889E-77A6B19F72C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25" authorId="0" shapeId="0" xr:uid="{7C5F2E6D-CBB1-BD46-8DC7-90055DA0664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26" authorId="0" shapeId="0" xr:uid="{C0696277-D6F5-3E43-AB1E-3EACA1F0BE0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26" authorId="0" shapeId="0" xr:uid="{596920F7-E7F1-2D4A-AB01-91D583BE0FC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26" authorId="0" shapeId="0" xr:uid="{C687AF64-371F-C842-81DC-94788112B2C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27" authorId="0" shapeId="0" xr:uid="{F500E02E-CFBE-7949-9948-27A29151ACE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27" authorId="0" shapeId="0" xr:uid="{1137F6A2-0657-4148-B53C-8BED890C8FE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27" authorId="0" shapeId="0" xr:uid="{CE134119-FFCF-2D47-96C6-0DEE7F8877E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28" authorId="0" shapeId="0" xr:uid="{9CD52AD3-18D8-7141-81D0-4937954AE42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28" authorId="0" shapeId="0" xr:uid="{384E0D3E-6079-0A42-85EA-5C2FA27BE39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28" authorId="0" shapeId="0" xr:uid="{4CBDC21A-C7A3-0046-B257-ECD5F6DEF79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29" authorId="0" shapeId="0" xr:uid="{CEC2A827-BC56-FD4A-8FC4-94D81F94BDB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29" authorId="0" shapeId="0" xr:uid="{BD65FE96-E05E-A647-BBB6-3046FC22A40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29" authorId="0" shapeId="0" xr:uid="{9524D89E-6B9D-7E46-A9CE-8A5B79D5C4C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30" authorId="0" shapeId="0" xr:uid="{6CD8F191-8B63-CA4B-BB94-06E2B533B54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30" authorId="0" shapeId="0" xr:uid="{F0DDAAD8-C945-5348-893A-A9F2453FB69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30" authorId="0" shapeId="0" xr:uid="{562D11E4-71F2-0045-A956-2E23FFBB701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31" authorId="0" shapeId="0" xr:uid="{70CFEFB7-31D1-174F-9467-E6A988DF164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31" authorId="0" shapeId="0" xr:uid="{3028FD6F-D6CE-A34B-A553-01C4F3A8D89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31" authorId="0" shapeId="0" xr:uid="{FC1BE3AD-718F-924D-BC8D-B3139EDD00E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32" authorId="0" shapeId="0" xr:uid="{911187E8-AE6B-DB43-B839-BC9216F4C79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32" authorId="0" shapeId="0" xr:uid="{E88D5A29-6C77-AE4A-9F6A-3E34096121E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32" authorId="0" shapeId="0" xr:uid="{525984E8-DE43-064B-A454-F297D0E61B8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33" authorId="0" shapeId="0" xr:uid="{77DE83C0-5DF4-744D-A7D8-EF3627D655F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33" authorId="0" shapeId="0" xr:uid="{BBA6A910-7010-A84D-A254-A30CEF896AD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33" authorId="0" shapeId="0" xr:uid="{131EC78E-8649-534C-BCBF-8CC658A1DB0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34" authorId="0" shapeId="0" xr:uid="{CB7B0398-A7BD-7A4E-9E80-B1E05DCED93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34" authorId="0" shapeId="0" xr:uid="{92F0FA11-8482-1648-B297-B9D4A91E0BC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34" authorId="0" shapeId="0" xr:uid="{D257B34C-FA77-454B-B504-3F4EE187ABA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35" authorId="0" shapeId="0" xr:uid="{6AA7DFA4-E9AD-A148-B196-2102E739ED2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35" authorId="0" shapeId="0" xr:uid="{6F48B61F-F5DF-4B4D-A7DA-A2803D746ED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35" authorId="0" shapeId="0" xr:uid="{AB40F493-BD5C-F840-9A4C-21B63269B0B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36" authorId="0" shapeId="0" xr:uid="{B7EE8E48-F5B3-6641-BA7E-CC7870757B9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36" authorId="0" shapeId="0" xr:uid="{3695345C-2019-A54B-89FE-30B2AEE7222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36" authorId="0" shapeId="0" xr:uid="{B6378B4B-9D02-1145-B2D5-53D0782B16C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37" authorId="0" shapeId="0" xr:uid="{29476302-072C-C842-A54C-4AC9529FD59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37" authorId="0" shapeId="0" xr:uid="{D7CF1B9E-8BC6-F447-A7BA-44BA8F03CE9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37" authorId="0" shapeId="0" xr:uid="{062B1F32-2BFE-9549-A211-05182A22023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38" authorId="0" shapeId="0" xr:uid="{5F5452C0-C9B6-3C42-A1E9-AEBC3896A50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38" authorId="0" shapeId="0" xr:uid="{089A72E0-A78A-2442-8878-2AA0C605AA9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38" authorId="0" shapeId="0" xr:uid="{68D596A9-BC1F-C748-9F3E-E6C9C4DF89B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39" authorId="0" shapeId="0" xr:uid="{07021D46-6237-F44F-A3C2-AB4E5F551E5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39" authorId="0" shapeId="0" xr:uid="{4A25C496-38DF-8B48-88C5-77A66F3F620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39" authorId="0" shapeId="0" xr:uid="{80205D82-38A7-834E-B7C3-921548FD5B2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40" authorId="0" shapeId="0" xr:uid="{DC8B9656-0086-0444-B79B-0250B8F51BD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40" authorId="0" shapeId="0" xr:uid="{1D055A68-20A1-ED48-BE3E-27143E51F5A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40" authorId="0" shapeId="0" xr:uid="{16316294-0CBF-CF41-AE02-CF6A0F13024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41" authorId="0" shapeId="0" xr:uid="{87411076-A147-4443-BF9E-A7246B86997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41" authorId="0" shapeId="0" xr:uid="{5A3B3494-C1EC-8449-A159-58AE75CC34D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41" authorId="0" shapeId="0" xr:uid="{693E25E8-6DAA-4349-AD42-6420916D67E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42" authorId="0" shapeId="0" xr:uid="{1439D0F6-36E1-C840-B92B-43A89AA98BD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42" authorId="0" shapeId="0" xr:uid="{0BC58B9A-1DAC-014F-BC0C-BC26DED346E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42" authorId="0" shapeId="0" xr:uid="{5270247C-339E-E541-9EFF-5D85199879D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43" authorId="0" shapeId="0" xr:uid="{F96D0AA0-E7E4-1F40-9194-E7740F5B81C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43" authorId="0" shapeId="0" xr:uid="{3DDAEFA4-7007-F54D-8088-8BDB08E0728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43" authorId="0" shapeId="0" xr:uid="{4EB1EEE0-0F34-5840-AED7-399BA3F2FC9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44" authorId="0" shapeId="0" xr:uid="{407B190A-6377-AC4A-BE49-273A88D41B6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44" authorId="0" shapeId="0" xr:uid="{78F9C078-CA3B-BC40-94B8-C1B3A8C3731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44" authorId="0" shapeId="0" xr:uid="{19A3CC58-6448-F14D-89B0-360B8B11C40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45" authorId="0" shapeId="0" xr:uid="{E3D346AB-E871-D64F-8B1E-6F2094F920E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45" authorId="0" shapeId="0" xr:uid="{9F2B1BD6-C788-C64E-8ECD-E3F61341ED5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45" authorId="0" shapeId="0" xr:uid="{06637AA7-34BC-AE42-ACFE-914A8696F73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46" authorId="0" shapeId="0" xr:uid="{BB98B54F-BDB5-434C-8F88-B8286333E33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46" authorId="0" shapeId="0" xr:uid="{FC3DDD02-30BC-8748-92B9-929A26521AB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46" authorId="0" shapeId="0" xr:uid="{812440B7-68A4-044F-8E2F-D360EE41BED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47" authorId="0" shapeId="0" xr:uid="{CCC36897-4D2C-CE4B-A665-AE2354EBDA0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47" authorId="0" shapeId="0" xr:uid="{0E225C29-5F7A-3346-BEC0-C98652B4BE9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47" authorId="0" shapeId="0" xr:uid="{8835621F-0CBC-124D-9A60-617E13CFFB3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48" authorId="0" shapeId="0" xr:uid="{28A66A7C-5FE0-0B49-A807-F6B8528B01D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48" authorId="0" shapeId="0" xr:uid="{6793DB0B-CACC-E748-BE0A-128768EBEEC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48" authorId="0" shapeId="0" xr:uid="{24AAFA00-AAD0-8943-80D0-DAF46B52A65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49" authorId="0" shapeId="0" xr:uid="{CDBF019D-5A9B-4E44-975A-36597292DD3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49" authorId="0" shapeId="0" xr:uid="{6AC29FF7-A761-F04B-B9DA-1220CB204B7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49" authorId="0" shapeId="0" xr:uid="{ACAD32F8-4DBF-514C-ACB0-92B1F71CE0C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50" authorId="0" shapeId="0" xr:uid="{E389F50B-BBE6-3548-9A90-D8CB7050DEF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50" authorId="0" shapeId="0" xr:uid="{E46884A4-B602-2D45-B9CC-AE6FA1892F5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50" authorId="0" shapeId="0" xr:uid="{22EE11DD-B10F-0341-8C3C-87D7FE1DBC7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51" authorId="0" shapeId="0" xr:uid="{CB24D011-9B19-8949-BEEC-25AFDA1CCDA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51" authorId="0" shapeId="0" xr:uid="{0D345CDA-233F-904D-A234-8B9229EBB07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51" authorId="0" shapeId="0" xr:uid="{4E99A49B-F855-FD4E-BA1E-7CE86EFB7DD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52" authorId="0" shapeId="0" xr:uid="{62113BD8-5169-EB44-B281-CE3148FB495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52" authorId="0" shapeId="0" xr:uid="{B4339F01-FCA4-4D45-A037-39AECDF79A8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52" authorId="0" shapeId="0" xr:uid="{7A47788A-5F7B-EE48-BC08-310A7998C5F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53" authorId="0" shapeId="0" xr:uid="{B54D2E93-FC14-9341-AA53-32B8744E812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53" authorId="0" shapeId="0" xr:uid="{514D61D8-7CDB-CE45-9040-F021572D45E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53" authorId="0" shapeId="0" xr:uid="{F2E500D7-851B-3B4A-A447-483E84F0158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54" authorId="0" shapeId="0" xr:uid="{42AF03CF-C2F4-AF46-86E1-25B854F32A4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54" authorId="0" shapeId="0" xr:uid="{50D3A495-03EB-DB41-BF31-5F7E2EFBB8A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54" authorId="0" shapeId="0" xr:uid="{3936038B-8F0F-6B45-B3AF-1595C4F87A2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55" authorId="0" shapeId="0" xr:uid="{7EE4351B-CD14-5249-8C35-228B965922C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55" authorId="0" shapeId="0" xr:uid="{2E5D04BE-5F21-0E46-A852-AFCA504BF5C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55" authorId="0" shapeId="0" xr:uid="{F2228DB6-B464-5C46-97F7-16C126562A3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56" authorId="0" shapeId="0" xr:uid="{9E927BB0-6B32-FE4F-ACF5-EB2FA348C25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56" authorId="0" shapeId="0" xr:uid="{08B7CA03-0050-974C-B909-ED2ADDB0647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56" authorId="0" shapeId="0" xr:uid="{2CCA8557-3454-AD40-A8CF-8359646463D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57" authorId="0" shapeId="0" xr:uid="{476DB06B-4C59-3449-B94D-967349F8E57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57" authorId="0" shapeId="0" xr:uid="{33ED6365-3485-634E-9599-8EFF0D3F564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57" authorId="0" shapeId="0" xr:uid="{E1F95DB3-45A6-464E-B7B5-93B3651FA7A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58" authorId="0" shapeId="0" xr:uid="{6AAE018F-36A9-C042-AB6C-4DEEBA226F4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58" authorId="0" shapeId="0" xr:uid="{2038C0F5-53B9-D34B-BC45-4CE47E53CD7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58" authorId="0" shapeId="0" xr:uid="{3D40ECE0-B117-3945-85D2-3B26EAF6B2A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59" authorId="0" shapeId="0" xr:uid="{F3CEE10F-ABBF-A742-B986-5FA5BBD676B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59" authorId="0" shapeId="0" xr:uid="{B9C18718-0EB6-124E-A742-A6586C65D5D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59" authorId="0" shapeId="0" xr:uid="{4CD9D6FD-914A-2341-A2C9-37E7C339354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60" authorId="0" shapeId="0" xr:uid="{2DB2ADB6-ACD9-3C49-9A94-A8AE991ECDF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60" authorId="0" shapeId="0" xr:uid="{98DA7367-D08A-6144-858D-F3358FA12E6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60" authorId="0" shapeId="0" xr:uid="{A089AE5D-1232-7240-AA42-4E77A2A022E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61" authorId="0" shapeId="0" xr:uid="{09A3E9C4-80F6-AD4E-915C-17E08EAEA5A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61" authorId="0" shapeId="0" xr:uid="{441FB236-12DB-8546-B7A6-05E963C2C12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61" authorId="0" shapeId="0" xr:uid="{AA02810C-38E0-CD4A-A3C2-53ACF4A3E32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62" authorId="0" shapeId="0" xr:uid="{B2DB340D-FDDF-1244-864F-FD5D6F455A7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62" authorId="0" shapeId="0" xr:uid="{FD6DAAAF-6C24-034A-924C-12A0BF7F6CA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62" authorId="0" shapeId="0" xr:uid="{7B202DE5-19FB-4440-9632-334A2CAA0FA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63" authorId="0" shapeId="0" xr:uid="{FA50FCC8-0797-6D41-967D-41B0CF1F1EC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63" authorId="0" shapeId="0" xr:uid="{65238296-747A-BF41-9F0E-C4F460DA8D1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63" authorId="0" shapeId="0" xr:uid="{B792445D-BDFD-7B48-9D0B-73D4679592E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64" authorId="0" shapeId="0" xr:uid="{12516DE0-F347-244F-A5C4-56F3351A495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64" authorId="0" shapeId="0" xr:uid="{E5B8871A-E70C-3F48-819C-2900D9B1FA2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64" authorId="0" shapeId="0" xr:uid="{CD1BC8BF-D04D-934C-A304-EC1D1B2869A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65" authorId="0" shapeId="0" xr:uid="{67FF622A-FA87-3041-9E44-6FB89B19C47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65" authorId="0" shapeId="0" xr:uid="{2633F430-5F17-A54D-9B77-B1C1AE85EF4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65" authorId="0" shapeId="0" xr:uid="{F3FF4941-D03F-984D-BC08-3078711E6A9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66" authorId="0" shapeId="0" xr:uid="{489B33CF-71CD-A646-A216-64F4C40803A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66" authorId="0" shapeId="0" xr:uid="{1058109F-7735-3E4E-9624-D61FE60DF26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66" authorId="0" shapeId="0" xr:uid="{D01CA7F8-8C4D-084F-B440-6E537178E11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67" authorId="0" shapeId="0" xr:uid="{37F64064-D336-6843-834C-354D5A19B36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67" authorId="0" shapeId="0" xr:uid="{0AB2C591-AE92-6D44-A95E-180D842C7A9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67" authorId="0" shapeId="0" xr:uid="{291D7909-86C5-934D-8364-75B2870621B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68" authorId="0" shapeId="0" xr:uid="{DDEEB517-76F9-4349-8796-47051F5BE2D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68" authorId="0" shapeId="0" xr:uid="{FE131013-3D9C-DF4D-9EF6-BFB4C669048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68" authorId="0" shapeId="0" xr:uid="{ED7D3619-8B1A-734A-93ED-6CE072A2214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69" authorId="0" shapeId="0" xr:uid="{0C0B5921-C2B9-094F-A455-110DFC0BF76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69" authorId="0" shapeId="0" xr:uid="{3568FE8A-EAF9-0F49-AD5B-849887316A5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69" authorId="0" shapeId="0" xr:uid="{F4BFCBE3-0591-4840-8DAE-38A33FC536B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70" authorId="0" shapeId="0" xr:uid="{7F72B740-12DC-924D-A1E3-731F864F189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70" authorId="0" shapeId="0" xr:uid="{F7E002EB-25C8-004B-BF02-F735C33FE71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70" authorId="0" shapeId="0" xr:uid="{496FFEBB-C61B-AA4F-B870-F8EA2A1344E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71" authorId="0" shapeId="0" xr:uid="{DE7EC791-2BB7-3B4F-B66A-9DFEF7AB6A7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71" authorId="0" shapeId="0" xr:uid="{FCA8879F-BD5C-FC40-BD23-5CD7657686B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71" authorId="0" shapeId="0" xr:uid="{508F9A20-98ED-764E-88BE-8B9F3E29F52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72" authorId="0" shapeId="0" xr:uid="{35000F89-E0C8-6943-8FFD-807D8880348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72" authorId="0" shapeId="0" xr:uid="{9E9FA1B9-A51B-7042-B07E-397AB5023BC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72" authorId="0" shapeId="0" xr:uid="{24F2CE7B-35B0-0A43-B8D9-B97EBCB2913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73" authorId="0" shapeId="0" xr:uid="{BF4A04FA-0865-A641-B0A3-1159056ED13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73" authorId="0" shapeId="0" xr:uid="{0BEB911F-1E8E-EB4C-84C1-6D31087330E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73" authorId="0" shapeId="0" xr:uid="{8116903E-0116-C54C-8306-A7AED45F1FE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74" authorId="0" shapeId="0" xr:uid="{4218AAF7-0DEF-AA44-A7F6-3B829B8B8E1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74" authorId="0" shapeId="0" xr:uid="{E0F2D998-F855-2748-B4E1-6502FA872C3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74" authorId="0" shapeId="0" xr:uid="{6767DFF0-9D8C-E44C-831A-FAB90370912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75" authorId="0" shapeId="0" xr:uid="{98767C21-F5B0-B140-8FCF-198A26CB41C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75" authorId="0" shapeId="0" xr:uid="{2A62FD62-9F35-3E44-91B2-E765D7494B5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75" authorId="0" shapeId="0" xr:uid="{10DD34E2-9961-AF41-81BF-F0B8A2A7838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76" authorId="0" shapeId="0" xr:uid="{EEA19CED-C897-F048-B600-CC806A4CDC7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76" authorId="0" shapeId="0" xr:uid="{29F7281D-3779-4E4E-A1C8-C9B4BB8F108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76" authorId="0" shapeId="0" xr:uid="{7A659E6B-5093-F748-8276-EF68A17B929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77" authorId="0" shapeId="0" xr:uid="{7DE9973C-53A8-D74E-9192-33199B006A4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77" authorId="0" shapeId="0" xr:uid="{AC741CCE-95F6-AB41-9190-A55FCB9E3B0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77" authorId="0" shapeId="0" xr:uid="{BF526739-E40A-0049-BB48-24B2EC6A57F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78" authorId="0" shapeId="0" xr:uid="{3EC3BD01-4ABC-5341-915E-88FEDB9C106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78" authorId="0" shapeId="0" xr:uid="{6B9E35AB-F9C0-724F-BAAA-F4AA35807A2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78" authorId="0" shapeId="0" xr:uid="{09343587-6C23-7440-A02F-E985D993634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79" authorId="0" shapeId="0" xr:uid="{0B0A7017-1693-2E42-937A-29E19C8FA34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79" authorId="0" shapeId="0" xr:uid="{D9974D9C-33FB-BF45-94E3-B1904183771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79" authorId="0" shapeId="0" xr:uid="{1FFDEC81-1EB5-5549-B391-E519053FFB6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80" authorId="0" shapeId="0" xr:uid="{954DDB67-A0A8-1A47-9899-44AB122042F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80" authorId="0" shapeId="0" xr:uid="{1B2E1DFA-2099-2B4C-AABF-2811B76035E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80" authorId="0" shapeId="0" xr:uid="{ABFEA6B7-DEA0-2B41-A7FF-ACD206E5D86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81" authorId="0" shapeId="0" xr:uid="{22D647E2-120C-EB49-A997-B9B0B4CF4C0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81" authorId="0" shapeId="0" xr:uid="{985E0628-9C85-1F4D-A042-77BFDC300B8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81" authorId="0" shapeId="0" xr:uid="{FFE6B373-E85B-8F43-BBD2-C5A65BEEA71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82" authorId="0" shapeId="0" xr:uid="{1BE029DA-26E2-C446-9A05-3A3A89196C2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82" authorId="0" shapeId="0" xr:uid="{E9044899-6C1B-A847-ACE6-81BB10B2911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82" authorId="0" shapeId="0" xr:uid="{55DCEFF1-CB6C-6046-A5F6-F3F35510E48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83" authorId="0" shapeId="0" xr:uid="{525FA8A6-6802-AC4F-8BE8-01DB775A705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83" authorId="0" shapeId="0" xr:uid="{6C929EA1-AE01-A34A-A1FC-FBD59220854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83" authorId="0" shapeId="0" xr:uid="{96D88AEF-3D82-8B4B-9C6E-FA21EB96580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84" authorId="0" shapeId="0" xr:uid="{57F171A1-4DEA-AB45-9DFD-6D0C1122438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84" authorId="0" shapeId="0" xr:uid="{DDCFA65D-060E-4448-B4ED-CC9D04E64D2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84" authorId="0" shapeId="0" xr:uid="{C61FF86E-9AD9-184E-9455-84CCBA4E5D1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85" authorId="0" shapeId="0" xr:uid="{FD5BD2F3-961B-774B-BD66-5377429E994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85" authorId="0" shapeId="0" xr:uid="{2104A119-FF8C-114B-858E-593C08F6DDF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85" authorId="0" shapeId="0" xr:uid="{FFBC5491-C195-254D-81C3-9242C07D975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86" authorId="0" shapeId="0" xr:uid="{BC457006-158B-CB48-A368-22ABBAEC73E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86" authorId="0" shapeId="0" xr:uid="{7EE7B543-1137-B243-9C6E-076A06069D4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86" authorId="0" shapeId="0" xr:uid="{E4C88D2F-2952-C64E-BA06-12AC4D8D278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87" authorId="0" shapeId="0" xr:uid="{98BB7D81-BDCD-474B-ADBE-F8AC5D5CC5A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87" authorId="0" shapeId="0" xr:uid="{8511CE6E-B794-2E42-B5BE-31F132F779F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87" authorId="0" shapeId="0" xr:uid="{FE1E92F6-D272-104B-BA68-1CC3DECBFB9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88" authorId="0" shapeId="0" xr:uid="{2EBDFF3C-A5D3-D44D-8363-863705BFDA4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88" authorId="0" shapeId="0" xr:uid="{ACC3DF0D-E4BB-6445-B51A-91BC0F42182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88" authorId="0" shapeId="0" xr:uid="{FEFA962C-4695-D64C-AC4D-D7914E02AED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89" authorId="0" shapeId="0" xr:uid="{F94726E6-EE0D-5049-B58C-455ECA35738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89" authorId="0" shapeId="0" xr:uid="{618E7EDF-BDF8-EF45-AF89-CB88A511482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89" authorId="0" shapeId="0" xr:uid="{8EEBF81B-ADDE-3443-96FF-1D7A3CBBFA2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90" authorId="0" shapeId="0" xr:uid="{8FF691F6-AC7C-AA4B-8E8F-E3637F2F593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90" authorId="0" shapeId="0" xr:uid="{A0960753-01D5-2A4F-BC8E-AC9DEEA3F53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90" authorId="0" shapeId="0" xr:uid="{CC50CAC1-30DD-E046-9604-E7E84BB6DCC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91" authorId="0" shapeId="0" xr:uid="{8698FCC4-875E-604F-A329-51A80DDBF41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91" authorId="0" shapeId="0" xr:uid="{3D0FBAE1-0006-744E-998E-32FAEF1ADCC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91" authorId="0" shapeId="0" xr:uid="{AE107FE1-17A3-3C46-AF53-9CE9A5BE3AF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92" authorId="0" shapeId="0" xr:uid="{289CCAEE-CDAC-2046-8EEF-9CFDD9E91A5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92" authorId="0" shapeId="0" xr:uid="{7035A107-3DCF-8A46-BEBA-658AE442793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92" authorId="0" shapeId="0" xr:uid="{55975659-DE2E-2942-A33D-FDF154ACDF5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93" authorId="0" shapeId="0" xr:uid="{A58E6843-5ECE-9147-B5DF-D716383AC15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93" authorId="0" shapeId="0" xr:uid="{65661821-3AD2-A94E-8CE9-6B82C887B1D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93" authorId="0" shapeId="0" xr:uid="{64F2F058-213B-FA49-A17F-4AAD7CFB514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94" authorId="0" shapeId="0" xr:uid="{5F7DA700-ECAB-8045-AA24-F412010DB97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94" authorId="0" shapeId="0" xr:uid="{7109823A-9344-734D-AB70-46A00138DEB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94" authorId="0" shapeId="0" xr:uid="{587641DA-2709-134D-BDE9-8E512952FC0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95" authorId="0" shapeId="0" xr:uid="{EB358825-2B33-7D4D-AA2E-C657034A9D4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95" authorId="0" shapeId="0" xr:uid="{C5A22607-B7C2-234E-A999-125A4C6B0A1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95" authorId="0" shapeId="0" xr:uid="{D6661E9D-9387-C647-B2EB-48ABC85C5FC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96" authorId="0" shapeId="0" xr:uid="{1E74295B-2D7B-5C4A-88A1-79BCBD1FE2C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96" authorId="0" shapeId="0" xr:uid="{1883CC7A-B206-074B-B7A1-7FC7AD03D99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96" authorId="0" shapeId="0" xr:uid="{7DC5CBC2-C997-634B-A064-C4792C3541F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97" authorId="0" shapeId="0" xr:uid="{C0A722B2-40EA-2D42-A65E-9D8B99F4199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97" authorId="0" shapeId="0" xr:uid="{6D82885D-1B0D-574D-A8F7-CFB98C5376A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97" authorId="0" shapeId="0" xr:uid="{64DEB012-B415-0C4C-93ED-3070D167D13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98" authorId="0" shapeId="0" xr:uid="{803617C8-17C3-BD4D-9089-95407D0CF3C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98" authorId="0" shapeId="0" xr:uid="{5BA81F24-BDF0-2F48-A880-224BD627096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98" authorId="0" shapeId="0" xr:uid="{B24DB3EB-5AF2-0542-8747-8A83F955A52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99" authorId="0" shapeId="0" xr:uid="{097D86E9-CB93-1A47-BC89-72005D9F4B9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99" authorId="0" shapeId="0" xr:uid="{BAF12C56-1903-9C44-BA72-98FF9EE8BE3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99" authorId="0" shapeId="0" xr:uid="{7A2EEA1E-0084-2044-9041-07D3B8CD14E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00" authorId="0" shapeId="0" xr:uid="{CC315572-ED14-FD4A-BC84-34ECEDFC694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00" authorId="0" shapeId="0" xr:uid="{B49006F2-1FC8-9346-9264-C3BD4CF17CF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00" authorId="0" shapeId="0" xr:uid="{DD99205D-C856-4E4C-93B9-298835A5FCD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01" authorId="0" shapeId="0" xr:uid="{E3A25F5D-D4E7-0F4F-8764-FB128C2E9CA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01" authorId="0" shapeId="0" xr:uid="{4413D50B-F6EE-F44B-8EA7-BB76119E17C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01" authorId="0" shapeId="0" xr:uid="{ADF9AB96-8259-414B-B968-9F528AF8A7B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02" authorId="0" shapeId="0" xr:uid="{FE35A7E7-F064-7141-AF8A-511296D5F1A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02" authorId="0" shapeId="0" xr:uid="{49499EB1-36BA-484A-A61C-4D77C3AA0CB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02" authorId="0" shapeId="0" xr:uid="{A3BDFF99-282F-9A4E-87DA-976772F6C3D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03" authorId="0" shapeId="0" xr:uid="{07C53ED4-8990-194B-AD7D-7FEDD043B0D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03" authorId="0" shapeId="0" xr:uid="{C0DE751D-445C-4840-9212-D5AE91D43D9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03" authorId="0" shapeId="0" xr:uid="{DA73D282-9B5A-D440-ACAC-F6C18CF41CA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04" authorId="0" shapeId="0" xr:uid="{EE30A522-24FD-A548-BEA0-ED48CD7F3FF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04" authorId="0" shapeId="0" xr:uid="{359329DD-3E41-5741-9080-C0B18A4DF6B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04" authorId="0" shapeId="0" xr:uid="{D547405C-F44D-1F40-BBB2-1F0BD143879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05" authorId="0" shapeId="0" xr:uid="{20C2731A-2232-E744-AD07-DB497C964E9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05" authorId="0" shapeId="0" xr:uid="{4A60C498-CCD5-B64B-A5C7-6EB12D89E85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05" authorId="0" shapeId="0" xr:uid="{293AD6C6-7EB1-C347-A1D6-6CA0B17CD18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06" authorId="0" shapeId="0" xr:uid="{79CA4F5F-58DB-AF4F-9823-06F5FF0C61D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06" authorId="0" shapeId="0" xr:uid="{EF72B4BD-4F49-1647-A794-8F8A0B8A11B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06" authorId="0" shapeId="0" xr:uid="{915348AA-BCCF-394B-8A5E-3576319013E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07" authorId="0" shapeId="0" xr:uid="{ABC42797-F8FD-7349-8377-0517DD21B33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07" authorId="0" shapeId="0" xr:uid="{E192A4E2-3368-AC46-AC96-35CF26BC2DF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07" authorId="0" shapeId="0" xr:uid="{8380EDB1-D869-F74B-98AB-7138C8B0D0B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08" authorId="0" shapeId="0" xr:uid="{10CB60CD-4750-8E4E-9F8D-86FEDE64164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08" authorId="0" shapeId="0" xr:uid="{8517D4C2-CA98-B149-991C-0F1B66E0DCA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08" authorId="0" shapeId="0" xr:uid="{03EF20E5-5A32-A245-AA94-7F49D9CC9D0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09" authorId="0" shapeId="0" xr:uid="{BF9853C7-6B65-A849-8ED6-F578D361D1C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09" authorId="0" shapeId="0" xr:uid="{50A2A214-D020-D345-8985-25AA9F9ED0F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09" authorId="0" shapeId="0" xr:uid="{F88214BC-6ABB-EA48-93F0-A8FDE2745C6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10" authorId="0" shapeId="0" xr:uid="{9F7E2725-6E39-3C44-A436-690835AD05F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10" authorId="0" shapeId="0" xr:uid="{ED57CFE5-72AE-2C42-BFBD-37420BE430A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10" authorId="0" shapeId="0" xr:uid="{E69710F9-0ECA-EF4C-9AF5-ED20B52BF91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11" authorId="0" shapeId="0" xr:uid="{599F19C2-0516-C044-BB59-53E0B785357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11" authorId="0" shapeId="0" xr:uid="{890E5407-F521-A040-B645-9D7451E2FDA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11" authorId="0" shapeId="0" xr:uid="{6F9248E2-CBD0-6643-BCCF-C81C0D8CE7E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12" authorId="0" shapeId="0" xr:uid="{FA1DCC0A-13AF-624D-8E75-98C1C5F927E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12" authorId="0" shapeId="0" xr:uid="{A03EF022-CDD7-234A-9697-3D68D6DF57F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12" authorId="0" shapeId="0" xr:uid="{CC798638-B62E-894C-BBB7-EBE6A618D55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13" authorId="0" shapeId="0" xr:uid="{18559B8E-96C9-AC43-B0CA-48ED6434591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13" authorId="0" shapeId="0" xr:uid="{0F41FA5C-1E8E-D842-85E8-6A9A94ACD26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13" authorId="0" shapeId="0" xr:uid="{B2C353DE-5752-CB49-9A9C-D05F34D189D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14" authorId="0" shapeId="0" xr:uid="{880458D0-F4DD-DF4F-A79D-3DB55F84665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14" authorId="0" shapeId="0" xr:uid="{CC0C93A5-C855-094E-8CE0-B40AD77110B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14" authorId="0" shapeId="0" xr:uid="{AD209DCD-EA45-5E42-AF39-4F7CC36C739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15" authorId="0" shapeId="0" xr:uid="{BA86CE98-6A78-CB42-8561-80D4E3A5AF6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15" authorId="0" shapeId="0" xr:uid="{A5C55BA6-25B2-AF4B-BB45-488E0577BF3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15" authorId="0" shapeId="0" xr:uid="{0F95F844-585C-9442-BA4B-C22BEFAF080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16" authorId="0" shapeId="0" xr:uid="{902E5E3A-480F-FB45-9634-362159C9C0D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16" authorId="0" shapeId="0" xr:uid="{4A370514-6A3A-954B-9F20-D2640E2FCF4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16" authorId="0" shapeId="0" xr:uid="{6DB5E2DC-9230-D340-A698-7CD66041E46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17" authorId="0" shapeId="0" xr:uid="{906DB9E5-8344-9A43-BF91-94917325F29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17" authorId="0" shapeId="0" xr:uid="{65DA5CA1-697E-F745-B93F-C60464BB3D1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17" authorId="0" shapeId="0" xr:uid="{AB8F1343-2321-474C-8BB9-439A0661137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18" authorId="0" shapeId="0" xr:uid="{FC73F3F0-0F70-F644-BAB1-80793EF0596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18" authorId="0" shapeId="0" xr:uid="{BB7DC3A5-83DB-0C4A-87F0-8788AF23CAD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18" authorId="0" shapeId="0" xr:uid="{C29381AF-5B02-ED4F-AD91-A50B1D2D8E7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19" authorId="0" shapeId="0" xr:uid="{16AB2886-7F6E-E042-BF98-E014F275B0C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19" authorId="0" shapeId="0" xr:uid="{74406DA7-5809-8A4C-9FB5-CD39F6F7825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19" authorId="0" shapeId="0" xr:uid="{A08D618E-8745-4C4D-A7B0-D6ACB6572F1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20" authorId="0" shapeId="0" xr:uid="{F6E36AC4-1B14-BB42-A79D-EB9F288652E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20" authorId="0" shapeId="0" xr:uid="{CE1AD005-E025-854E-9A02-29C3A2E5AF5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20" authorId="0" shapeId="0" xr:uid="{D65C6C78-EC9B-9340-93EF-695621919FA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21" authorId="0" shapeId="0" xr:uid="{1A48F940-5E98-904C-9E44-C8AE82F0520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21" authorId="0" shapeId="0" xr:uid="{985E5300-95EF-474A-9E66-6BBA3A965B2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21" authorId="0" shapeId="0" xr:uid="{5D641998-67AF-2549-8084-6E0B9DA9B89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22" authorId="0" shapeId="0" xr:uid="{95051794-D8A6-5A4C-BB18-7510B84755D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22" authorId="0" shapeId="0" xr:uid="{40771CFC-E3BC-AA45-8719-740BE1246A6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22" authorId="0" shapeId="0" xr:uid="{FB5A03D7-8BF1-2C45-AE8F-CAE7E652178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23" authorId="0" shapeId="0" xr:uid="{C33FD266-45A5-5F4F-B13B-6A466CF16D0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23" authorId="0" shapeId="0" xr:uid="{9F18C5A8-B790-C940-A887-C801CFDAA57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23" authorId="0" shapeId="0" xr:uid="{8D2751ED-32C1-0D49-B538-85152483C01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24" authorId="0" shapeId="0" xr:uid="{CBF77FF5-C97F-3B48-9C12-024590061DE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24" authorId="0" shapeId="0" xr:uid="{FDA7FDE1-81A4-0648-AE0C-B95F2C303B7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24" authorId="0" shapeId="0" xr:uid="{C95AB039-1A1A-0947-ADFF-A3FCE30DED8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25" authorId="0" shapeId="0" xr:uid="{E899911F-04F9-4848-ADD2-275CC4C773C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25" authorId="0" shapeId="0" xr:uid="{311E5C76-20A8-1644-B776-5FF04DE0E77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25" authorId="0" shapeId="0" xr:uid="{3E78DCEE-6A5C-944C-BBB8-667196C7F11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26" authorId="0" shapeId="0" xr:uid="{582E7318-CDD7-374B-B422-4AAB245157F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26" authorId="0" shapeId="0" xr:uid="{EB14315D-03C6-464B-B6F2-DE5E5F95D19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26" authorId="0" shapeId="0" xr:uid="{B015A6E5-2DC0-D24B-A14F-037B68434AE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27" authorId="0" shapeId="0" xr:uid="{30605ECB-52DA-4643-B45D-26780E6152C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27" authorId="0" shapeId="0" xr:uid="{CC52E49E-79BA-9F4D-98BB-29A18753986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27" authorId="0" shapeId="0" xr:uid="{A9B1BBDF-D118-304B-A65C-2A3C9254CC0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28" authorId="0" shapeId="0" xr:uid="{926EEDDA-1B2D-0741-92F6-58BB931B716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28" authorId="0" shapeId="0" xr:uid="{5ED9E0CD-8BAF-3E48-81DA-A7FFB248F60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28" authorId="0" shapeId="0" xr:uid="{76586635-BE93-1146-A494-5B783267B96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29" authorId="0" shapeId="0" xr:uid="{246F6FB0-990D-BB45-898E-A52FD066D1A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29" authorId="0" shapeId="0" xr:uid="{C80B9140-0921-C344-BDB5-C58E366C07F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29" authorId="0" shapeId="0" xr:uid="{61172202-3B59-7448-AB9F-151E0E918FD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30" authorId="0" shapeId="0" xr:uid="{B8BE497E-B05F-274A-9F89-7A84BBA1DD0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30" authorId="0" shapeId="0" xr:uid="{E144396A-FA95-CF48-B4C4-0E0C5B65806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30" authorId="0" shapeId="0" xr:uid="{E8A6B893-02AF-7048-8E65-F6ACF25314E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31" authorId="0" shapeId="0" xr:uid="{C1BBC26D-EFC4-1C47-A426-C0CC44A0501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31" authorId="0" shapeId="0" xr:uid="{5D07BA2A-43C9-F640-A298-1D8601F4C3D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31" authorId="0" shapeId="0" xr:uid="{D67FA0BE-B702-DA46-81C7-204FD190DCA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32" authorId="0" shapeId="0" xr:uid="{0891131C-585D-6E44-9FD9-7A4385A793F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32" authorId="0" shapeId="0" xr:uid="{60241C6B-33AE-124D-9705-CE87382156A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32" authorId="0" shapeId="0" xr:uid="{C7E5BB60-34B5-8747-8C45-70D89D00ADA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33" authorId="0" shapeId="0" xr:uid="{55677A6E-C193-4646-9338-AB4A311EE73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33" authorId="0" shapeId="0" xr:uid="{BB019DC9-73B2-F249-B284-5B727B3B719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33" authorId="0" shapeId="0" xr:uid="{28BB8AF9-259C-2F45-9AD5-C09BDBCE6C3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34" authorId="0" shapeId="0" xr:uid="{E6441C1F-755F-E24C-BF0B-5EC9E510BE5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34" authorId="0" shapeId="0" xr:uid="{071027E9-FD42-FC45-BFBD-795AA3A5DCD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34" authorId="0" shapeId="0" xr:uid="{9992BF9F-1A3C-314C-B076-8AF08EBD402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35" authorId="0" shapeId="0" xr:uid="{D1C3E7DA-6BBD-3549-AA5E-D5209719DE5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35" authorId="0" shapeId="0" xr:uid="{8D904946-31A7-8E4E-982E-323BA58859C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35" authorId="0" shapeId="0" xr:uid="{0FE16C43-CC04-2741-B199-C474104B1ED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36" authorId="0" shapeId="0" xr:uid="{2C46586B-18B1-2B49-85B2-03E5F88EBCA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36" authorId="0" shapeId="0" xr:uid="{7DC75923-815A-3E49-BAE6-795F4F87117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36" authorId="0" shapeId="0" xr:uid="{1813605C-3566-044C-9D9D-27796BB0EB2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37" authorId="0" shapeId="0" xr:uid="{8A9E959D-D0E5-0C48-A51E-6852055916C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37" authorId="0" shapeId="0" xr:uid="{B6B99EBC-AA8C-3146-89A9-9782ABAECAB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37" authorId="0" shapeId="0" xr:uid="{5CF75932-D48C-0644-A321-8EAB00934E4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38" authorId="0" shapeId="0" xr:uid="{1054F8A0-76EF-D24C-8435-DEB900AED67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38" authorId="0" shapeId="0" xr:uid="{DB8EBE38-BDA8-3C4E-9EAE-9DE02DC9E25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38" authorId="0" shapeId="0" xr:uid="{4DEEDBAC-4E0B-BF41-9EF2-E8BCE8CB0AE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39" authorId="0" shapeId="0" xr:uid="{6B7EAB5E-5028-A743-B6D8-8D229A6E0B0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39" authorId="0" shapeId="0" xr:uid="{94149B87-75D4-C641-B1D1-BFECFC366CC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39" authorId="0" shapeId="0" xr:uid="{DEBF4AE6-D0C0-EC4D-80D6-168A2640DD5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40" authorId="0" shapeId="0" xr:uid="{FDF68684-A447-704E-BA73-9E7655D08A8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40" authorId="0" shapeId="0" xr:uid="{6EE7F26A-96A6-0E46-A9D2-49AB38570A1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40" authorId="0" shapeId="0" xr:uid="{65315520-B19E-F546-BD89-FD4C838A3C9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41" authorId="0" shapeId="0" xr:uid="{3922FCB6-35EC-B643-88B9-05C6526BC0B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41" authorId="0" shapeId="0" xr:uid="{78FA8BB2-BC9D-BE4F-9225-940A6C71708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41" authorId="0" shapeId="0" xr:uid="{3B88A153-1591-024D-9CB2-0600AC4B0F1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42" authorId="0" shapeId="0" xr:uid="{76E47050-B165-B54B-9F33-AB6BDE34871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42" authorId="0" shapeId="0" xr:uid="{D67D38F2-24D9-B84C-BE30-4A96C97BB3A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42" authorId="0" shapeId="0" xr:uid="{F1E74AB7-9027-F740-BCA4-3798B5D7977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43" authorId="0" shapeId="0" xr:uid="{1AFE09BA-01D5-0B4B-B657-99771779BF3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43" authorId="0" shapeId="0" xr:uid="{C851A185-8FB7-A44E-984C-8527C276DDE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43" authorId="0" shapeId="0" xr:uid="{58C644F5-1832-A743-91E7-8B69C8B35B5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44" authorId="0" shapeId="0" xr:uid="{39D8210E-7846-054C-A70E-BEB65A99163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44" authorId="0" shapeId="0" xr:uid="{49CF0E45-A32B-7E42-9657-A51CB587FCE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44" authorId="0" shapeId="0" xr:uid="{5ACACC17-B8A9-0240-800C-8126E382016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45" authorId="0" shapeId="0" xr:uid="{B21F49DD-4A90-A54E-9625-B4CF453C321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45" authorId="0" shapeId="0" xr:uid="{1FF93D2B-BB40-E042-AFBC-74CBF8FB6C3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45" authorId="0" shapeId="0" xr:uid="{25383D33-6271-DD49-A55A-91C98EB444F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46" authorId="0" shapeId="0" xr:uid="{B955AB29-08AE-064E-9E99-55450DEE0EF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46" authorId="0" shapeId="0" xr:uid="{59827832-4528-ED4A-8663-A0822A2A32F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46" authorId="0" shapeId="0" xr:uid="{859FA9A8-C6BB-F948-8326-9A11C7E2353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47" authorId="0" shapeId="0" xr:uid="{91FFA5F3-C74F-6F49-B69A-0EF440F90BD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47" authorId="0" shapeId="0" xr:uid="{89CC1919-3D88-5548-8A58-C1DFC2D622F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47" authorId="0" shapeId="0" xr:uid="{A3B391C8-CA02-D148-8377-86B5EA204C3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48" authorId="0" shapeId="0" xr:uid="{9BAAA47B-EC14-AA4E-9707-7AEF1762D32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48" authorId="0" shapeId="0" xr:uid="{0C7B550D-7166-FA43-A4F8-D33C7BA87F0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48" authorId="0" shapeId="0" xr:uid="{406DEA91-352A-504A-95D4-5D9168CC14B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49" authorId="0" shapeId="0" xr:uid="{BFBEF105-98A7-0048-9833-70EF99DDA60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49" authorId="0" shapeId="0" xr:uid="{E960B692-6BEE-3943-9910-899AB384F97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49" authorId="0" shapeId="0" xr:uid="{D1493950-7061-5C4F-A1F3-6375BF0413D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50" authorId="0" shapeId="0" xr:uid="{13E4D1A6-63D8-A844-BA11-131CF359256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50" authorId="0" shapeId="0" xr:uid="{B16059FC-6511-6949-A187-516B90D495C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50" authorId="0" shapeId="0" xr:uid="{2D4D334A-88BA-444D-86AC-158B3C705F7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51" authorId="0" shapeId="0" xr:uid="{9B92A50A-F19C-7D4E-90B8-BFB5F8E8E1D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51" authorId="0" shapeId="0" xr:uid="{76928942-BC65-E64B-BD07-32384F41EA1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51" authorId="0" shapeId="0" xr:uid="{E5199D23-1BE8-AD4A-9614-FA734AE8F7A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52" authorId="0" shapeId="0" xr:uid="{1A9377B3-204F-124A-971D-8C43DD6DFE8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52" authorId="0" shapeId="0" xr:uid="{23F9DE5A-F19B-374A-93BD-EFE14F337FD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52" authorId="0" shapeId="0" xr:uid="{8F5318BF-324A-A84C-9C33-85E16944186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53" authorId="0" shapeId="0" xr:uid="{A1227E37-7F40-4C4B-A276-7829DFCF65E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53" authorId="0" shapeId="0" xr:uid="{D7A712EA-338F-6A48-98AF-7C9F5A43A3A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53" authorId="0" shapeId="0" xr:uid="{C9450034-C754-E449-9B4A-29F0B0EA5F2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54" authorId="0" shapeId="0" xr:uid="{C8EB6A39-3902-9F4D-AB7A-57A8E7FE302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54" authorId="0" shapeId="0" xr:uid="{7343FC03-301D-2C42-8C58-E7C4E6C2E1E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54" authorId="0" shapeId="0" xr:uid="{BD784B0A-944F-924F-8AF0-5933BC958FB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55" authorId="0" shapeId="0" xr:uid="{568A0AD3-0FC6-1242-B714-565A5D57C27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55" authorId="0" shapeId="0" xr:uid="{910C32A7-FBA6-9E40-A365-D2DE301E837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55" authorId="0" shapeId="0" xr:uid="{3E662590-FE83-F542-82A9-FA8217790A2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56" authorId="0" shapeId="0" xr:uid="{E8425B22-4444-ED42-8209-C657FDCF9A9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56" authorId="0" shapeId="0" xr:uid="{CAB485C7-EF84-6149-9BDA-40596346282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56" authorId="0" shapeId="0" xr:uid="{08D3A947-E520-414F-B794-1B9DFB0F723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57" authorId="0" shapeId="0" xr:uid="{9BD2F1C1-209C-8748-B8D7-04BF6957866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57" authorId="0" shapeId="0" xr:uid="{054853CB-12FA-7D4E-BF09-2D06989B077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57" authorId="0" shapeId="0" xr:uid="{E2ED543C-BCB9-CA44-98F6-1B06789E856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58" authorId="0" shapeId="0" xr:uid="{EBDDC453-0D16-914E-AF2F-378E7E515EA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58" authorId="0" shapeId="0" xr:uid="{134686C9-A8CF-9B4C-ADC2-5296083F8C3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58" authorId="0" shapeId="0" xr:uid="{79D02357-2677-1145-8481-9FBBE1681B6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59" authorId="0" shapeId="0" xr:uid="{7D77CF32-BAA9-E24C-96DC-098B4562F13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59" authorId="0" shapeId="0" xr:uid="{D38798D2-2ED9-A04A-95B6-8FBBFA058C6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59" authorId="0" shapeId="0" xr:uid="{7540759A-8BE2-1C40-BB8D-79C0371E700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60" authorId="0" shapeId="0" xr:uid="{EE7E0A6C-F2F3-8045-893D-AB534A564E5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60" authorId="0" shapeId="0" xr:uid="{AEC20B03-DB2D-5341-BD63-B32DF45D03E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60" authorId="0" shapeId="0" xr:uid="{0D81C92F-4924-FE41-A6AF-7F4540A8C51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61" authorId="0" shapeId="0" xr:uid="{A4B59302-DF37-8343-8EDE-02E1FF646A1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61" authorId="0" shapeId="0" xr:uid="{78633357-0DD1-A248-BD64-D94B9FE2210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61" authorId="0" shapeId="0" xr:uid="{13799AA3-8D94-5749-A9AC-CB571C77116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62" authorId="0" shapeId="0" xr:uid="{0D34CF31-C6E7-9A49-AE3E-5D0FB687BAF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62" authorId="0" shapeId="0" xr:uid="{4E112252-DCF3-A44B-9BD5-ABC97636DA8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62" authorId="0" shapeId="0" xr:uid="{492282EF-2A14-1941-A87C-0AD87ACBF0E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63" authorId="0" shapeId="0" xr:uid="{E35698DE-E04C-3842-93D2-0D5BD996BE0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63" authorId="0" shapeId="0" xr:uid="{C87518E5-5F74-AB4D-B0AE-9655D4C4F8DF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63" authorId="0" shapeId="0" xr:uid="{BA104548-A906-4146-B02F-E2DB69C54E1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64" authorId="0" shapeId="0" xr:uid="{D234856A-FE67-9A4D-97E9-1A788912393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64" authorId="0" shapeId="0" xr:uid="{01BA358E-7DEA-BE48-A99E-AF88FE4A1FB1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64" authorId="0" shapeId="0" xr:uid="{70F50282-F7E9-7441-A153-4D269808E7C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65" authorId="0" shapeId="0" xr:uid="{70F75EFB-E6BC-B346-BA6C-871BC99ABD32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65" authorId="0" shapeId="0" xr:uid="{DF67838E-70B6-3C46-A4CC-3CE5CC924E3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65" authorId="0" shapeId="0" xr:uid="{4BD12C1E-3FBC-5B4C-A09D-594C3545714B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66" authorId="0" shapeId="0" xr:uid="{4ABAAD5E-37A1-A440-B1B5-6B7065CBB0A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66" authorId="0" shapeId="0" xr:uid="{359436FC-1687-B247-9BBD-C9F00F3D9613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66" authorId="0" shapeId="0" xr:uid="{27C3A7D8-B5DA-EF4D-8692-F0C6E89B7D4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67" authorId="0" shapeId="0" xr:uid="{F84CDF2E-4F46-4343-883F-FD276EDDB00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67" authorId="0" shapeId="0" xr:uid="{1CD53F13-1BE6-1D4A-BEB4-7381127258B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67" authorId="0" shapeId="0" xr:uid="{51BEE542-537A-EE4F-8A26-A984784B1E00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68" authorId="0" shapeId="0" xr:uid="{74C3194F-A398-1945-A2A7-F0A8904AAC0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68" authorId="0" shapeId="0" xr:uid="{84AEC6DF-94EF-E34B-924E-E299937C7B0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68" authorId="0" shapeId="0" xr:uid="{B22336F9-529A-B14B-B8D8-CC956BB7C95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69" authorId="0" shapeId="0" xr:uid="{38E61573-CEC8-4F42-926B-B486DE08A5CD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69" authorId="0" shapeId="0" xr:uid="{A4C2680A-7B0B-DB44-A349-89E303428D0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69" authorId="0" shapeId="0" xr:uid="{C882D2D6-6642-1B4F-9440-41FD15BF758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70" authorId="0" shapeId="0" xr:uid="{9F35ECF1-FF5A-8349-803B-2ABDDC831F6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70" authorId="0" shapeId="0" xr:uid="{948B4429-C3EA-B34C-B187-CC7262BD32F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70" authorId="0" shapeId="0" xr:uid="{FEBB5E3C-298F-B44B-9A93-033AA93EE148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71" authorId="0" shapeId="0" xr:uid="{26C7D24C-87AE-D04D-BD68-D5E31611D635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71" authorId="0" shapeId="0" xr:uid="{4FB3CABA-BF79-374A-99EC-AC835C6A675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71" authorId="0" shapeId="0" xr:uid="{45806621-DD30-9046-A295-0994D8C3AFF9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72" authorId="0" shapeId="0" xr:uid="{6C19970B-E3C0-4644-9503-C6A0390F350A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72" authorId="0" shapeId="0" xr:uid="{7F496DEA-902E-1D47-8497-EDC8F4C23516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72" authorId="0" shapeId="0" xr:uid="{A4170590-AF1C-3B4F-BEEF-16AD363BCBAE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73" authorId="0" shapeId="0" xr:uid="{0358367F-1459-4149-9ED4-37F1C9F8D3FC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73" authorId="0" shapeId="0" xr:uid="{702A96B5-040D-7A45-A76C-E0C565CF0C44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73" authorId="0" shapeId="0" xr:uid="{08D566A3-65B3-CC46-9507-C4F1947AB3C7}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Comune di Bari</author>
  </authors>
  <commentList>
    <comment ref="A35" authorId="0" shapeId="0" xr:uid="{9809D99A-0BD6-834F-969B-25AC3882F71D}">
      <text>
        <r>
          <rPr>
            <sz val="10"/>
            <color rgb="FF000000"/>
            <rFont val="Arial"/>
            <family val="2"/>
          </rPr>
          <t xml:space="preserve">Premio per il rischio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Alessandro Valli</author>
  </authors>
  <commentList>
    <comment ref="D5" authorId="0" shapeId="0" xr:uid="{79CBDE55-A3A2-5E40-825D-41D1AAAB44B2}">
      <text>
        <r>
          <rPr>
            <sz val="10"/>
            <color rgb="FF000000"/>
            <rFont val="Arial"/>
            <family val="2"/>
          </rPr>
          <t>Immettere il valore del costo storico</t>
        </r>
      </text>
    </comment>
    <comment ref="B6" authorId="0" shapeId="0" xr:uid="{C1224508-DE3C-6241-9716-EAD93931877C}">
      <text>
        <r>
          <rPr>
            <sz val="10"/>
            <color rgb="FF000000"/>
            <rFont val="Arial"/>
            <family val="2"/>
          </rPr>
          <t>Valore residuo dell' immobilizzazione esistente</t>
        </r>
      </text>
    </comment>
    <comment ref="D6" authorId="0" shapeId="0" xr:uid="{7D359080-908F-9340-AF9A-26EB32AD952D}">
      <text>
        <r>
          <rPr>
            <sz val="10"/>
            <color rgb="FF000000"/>
            <rFont val="Arial"/>
            <family val="2"/>
          </rPr>
          <t>Immettere il valore residuo</t>
        </r>
      </text>
    </comment>
    <comment ref="D76" authorId="0" shapeId="0" xr:uid="{6424EE72-15DD-9447-A697-DFFAD7CD1F21}">
      <text>
        <r>
          <rPr>
            <sz val="10"/>
            <color rgb="FF000000"/>
            <rFont val="Arial"/>
            <family val="2"/>
          </rPr>
          <t>Immettere il valore del costo storico</t>
        </r>
      </text>
    </comment>
    <comment ref="B77" authorId="0" shapeId="0" xr:uid="{18071C2B-0802-AF4C-886D-EC9C612621C5}">
      <text>
        <r>
          <rPr>
            <sz val="10"/>
            <color rgb="FF000000"/>
            <rFont val="Arial"/>
            <family val="2"/>
          </rPr>
          <t>Valore residuo dell' immobilizzazione esistente</t>
        </r>
      </text>
    </comment>
    <comment ref="D77" authorId="0" shapeId="0" xr:uid="{CE9B0377-AA8E-F94F-B9C5-A25000982C72}">
      <text>
        <r>
          <rPr>
            <sz val="10"/>
            <color rgb="FF000000"/>
            <rFont val="Arial"/>
            <family val="2"/>
          </rPr>
          <t>Immettere il valore residuo</t>
        </r>
      </text>
    </comment>
    <comment ref="D147" authorId="0" shapeId="0" xr:uid="{4A2982AD-6FC5-CB4B-967D-6EF30CFE4733}">
      <text>
        <r>
          <rPr>
            <sz val="10"/>
            <color rgb="FF000000"/>
            <rFont val="Arial"/>
            <family val="2"/>
          </rPr>
          <t>Immettere il valore del costo storico</t>
        </r>
      </text>
    </comment>
    <comment ref="B148" authorId="0" shapeId="0" xr:uid="{2268B27C-49E2-0941-9BFB-28DDDCA37604}">
      <text>
        <r>
          <rPr>
            <sz val="10"/>
            <color rgb="FF000000"/>
            <rFont val="Arial"/>
            <family val="2"/>
          </rPr>
          <t>Valore residuo dell' immobilizzazione esistente</t>
        </r>
      </text>
    </comment>
    <comment ref="D148" authorId="0" shapeId="0" xr:uid="{F9EE04CF-171E-934F-B76E-7154FFEC6F05}">
      <text>
        <r>
          <rPr>
            <sz val="10"/>
            <color rgb="FF000000"/>
            <rFont val="Arial"/>
            <family val="2"/>
          </rPr>
          <t>Immettere il valore residuo</t>
        </r>
      </text>
    </comment>
    <comment ref="D218" authorId="0" shapeId="0" xr:uid="{F8B22852-0D0E-F84F-9483-F71E89E06D01}">
      <text>
        <r>
          <rPr>
            <sz val="10"/>
            <color rgb="FF000000"/>
            <rFont val="Arial"/>
            <family val="2"/>
          </rPr>
          <t>Immettere il valore del costo storico</t>
        </r>
      </text>
    </comment>
    <comment ref="B219" authorId="0" shapeId="0" xr:uid="{555664B5-18F2-254C-B940-C8235A4DC6DB}">
      <text>
        <r>
          <rPr>
            <sz val="10"/>
            <color rgb="FF000000"/>
            <rFont val="Arial"/>
            <family val="2"/>
          </rPr>
          <t>Valore residuo dell' immobilizzazione esistente</t>
        </r>
      </text>
    </comment>
    <comment ref="D219" authorId="0" shapeId="0" xr:uid="{71CB8553-2DF3-1940-BED7-313BFF8349F0}">
      <text>
        <r>
          <rPr>
            <sz val="10"/>
            <color rgb="FF000000"/>
            <rFont val="Arial"/>
            <family val="2"/>
          </rPr>
          <t>Immettere il valore residuo</t>
        </r>
      </text>
    </comment>
    <comment ref="D289" authorId="0" shapeId="0" xr:uid="{FD777E5A-54B2-8A44-9BC7-9025E5D46368}">
      <text>
        <r>
          <rPr>
            <sz val="10"/>
            <color rgb="FF000000"/>
            <rFont val="Arial"/>
            <family val="2"/>
          </rPr>
          <t>Immettere il valore del costo storico</t>
        </r>
      </text>
    </comment>
    <comment ref="B290" authorId="0" shapeId="0" xr:uid="{948A3EFD-5466-1345-AC1A-0475EAE9EB6D}">
      <text>
        <r>
          <rPr>
            <sz val="10"/>
            <color rgb="FF000000"/>
            <rFont val="Arial"/>
            <family val="2"/>
          </rPr>
          <t>Valore residuo dell' immobilizzazione esistente</t>
        </r>
      </text>
    </comment>
    <comment ref="D290" authorId="0" shapeId="0" xr:uid="{24360880-97CC-E146-86B1-0A8DE7BEBD74}">
      <text>
        <r>
          <rPr>
            <sz val="10"/>
            <color rgb="FF000000"/>
            <rFont val="Arial"/>
            <family val="2"/>
          </rPr>
          <t>Immettere il valore residuo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Alessandro Valli</author>
  </authors>
  <commentList>
    <comment ref="D5" authorId="0" shapeId="0" xr:uid="{E8F340A4-3855-E649-AE3C-CB82CAD177A4}">
      <text>
        <r>
          <rPr>
            <sz val="10"/>
            <color rgb="FF000000"/>
            <rFont val="Arial"/>
            <family val="2"/>
          </rPr>
          <t>Immettere il valore del costo storico</t>
        </r>
      </text>
    </comment>
    <comment ref="B6" authorId="0" shapeId="0" xr:uid="{36654743-621A-7847-9AD8-2798220D6600}">
      <text>
        <r>
          <rPr>
            <sz val="10"/>
            <color rgb="FF000000"/>
            <rFont val="Arial"/>
            <family val="2"/>
          </rPr>
          <t>Valore residuo dell' immobilizzazione esistente</t>
        </r>
      </text>
    </comment>
    <comment ref="D6" authorId="0" shapeId="0" xr:uid="{E616601D-E310-944C-B6A1-B41992E01518}">
      <text>
        <r>
          <rPr>
            <sz val="10"/>
            <color rgb="FF000000"/>
            <rFont val="Arial"/>
            <family val="2"/>
          </rPr>
          <t>Immettere il valore residuo</t>
        </r>
      </text>
    </comment>
    <comment ref="D77" authorId="0" shapeId="0" xr:uid="{1F993F6E-6429-F142-AB21-C5D530A9636D}">
      <text>
        <r>
          <rPr>
            <sz val="10"/>
            <color rgb="FF000000"/>
            <rFont val="Arial"/>
            <family val="2"/>
          </rPr>
          <t>Immettere il valore del costo storico</t>
        </r>
      </text>
    </comment>
    <comment ref="B78" authorId="0" shapeId="0" xr:uid="{02FE5FA8-F16E-2940-8F6A-F990AADF21F9}">
      <text>
        <r>
          <rPr>
            <sz val="10"/>
            <color rgb="FF000000"/>
            <rFont val="Arial"/>
            <family val="2"/>
          </rPr>
          <t>Valore residuo dell' immobilizzazione esistente</t>
        </r>
      </text>
    </comment>
    <comment ref="D78" authorId="0" shapeId="0" xr:uid="{F5EFB69A-D38F-694D-91DE-E033D1FAB856}">
      <text>
        <r>
          <rPr>
            <sz val="10"/>
            <color rgb="FF000000"/>
            <rFont val="Arial"/>
            <family val="2"/>
          </rPr>
          <t>Immettere il valore residuo</t>
        </r>
      </text>
    </comment>
  </commentList>
</comments>
</file>

<file path=xl/sharedStrings.xml><?xml version="1.0" encoding="utf-8"?>
<sst xmlns="http://schemas.openxmlformats.org/spreadsheetml/2006/main" count="2591" uniqueCount="962">
  <si>
    <t>Opere edili</t>
  </si>
  <si>
    <t>Impianti</t>
  </si>
  <si>
    <t>Importo</t>
  </si>
  <si>
    <t>Rata</t>
  </si>
  <si>
    <t>Interessi</t>
  </si>
  <si>
    <t>Quota capitale</t>
  </si>
  <si>
    <t>ATTIVITA'</t>
  </si>
  <si>
    <t xml:space="preserve"> - Cassa e banche</t>
  </si>
  <si>
    <t xml:space="preserve"> - Crediti </t>
  </si>
  <si>
    <t xml:space="preserve"> - Ratei e risconti </t>
  </si>
  <si>
    <t xml:space="preserve"> - Immobilizzazioni Immateriali</t>
  </si>
  <si>
    <t xml:space="preserve"> - Immobilizzazioni Materiali</t>
  </si>
  <si>
    <t xml:space="preserve"> - Immobilizzazioni Finanziarie</t>
  </si>
  <si>
    <t>PASSIVITA'</t>
  </si>
  <si>
    <t xml:space="preserve"> - Debiti finanziari a breve termine</t>
  </si>
  <si>
    <t xml:space="preserve"> - Debiti verso fornitori </t>
  </si>
  <si>
    <t xml:space="preserve"> - Debiti finanziari a medio/lungo termine</t>
  </si>
  <si>
    <t xml:space="preserve"> - Fondo T.F.R.</t>
  </si>
  <si>
    <t xml:space="preserve"> - Capitale sociale</t>
  </si>
  <si>
    <t>TOTALE PASSIVO</t>
  </si>
  <si>
    <t>OPERATING CASH FLOW</t>
  </si>
  <si>
    <t xml:space="preserve"> - Imposte</t>
  </si>
  <si>
    <t xml:space="preserve"> - Accensione debiti finanziari a lungo termine</t>
  </si>
  <si>
    <t xml:space="preserve"> - Rimborso debiti finanziari a lungo termine</t>
  </si>
  <si>
    <t>NET FREE CASH FLOW</t>
  </si>
  <si>
    <t xml:space="preserve"> - Debiti verso fornitori infrastrutture</t>
  </si>
  <si>
    <t>Accensione prestito</t>
  </si>
  <si>
    <t>Quota interessi</t>
  </si>
  <si>
    <t>Debito residuo</t>
  </si>
  <si>
    <t>Tasso interesse</t>
  </si>
  <si>
    <t>Durata</t>
  </si>
  <si>
    <t>Riepilogo finanziamenti:</t>
  </si>
  <si>
    <t>Rimborso prestiti</t>
  </si>
  <si>
    <t>Accenzione prestiti</t>
  </si>
  <si>
    <t xml:space="preserve"> - Ratei e risconti attivi</t>
  </si>
  <si>
    <t xml:space="preserve"> - Ratei e risconti passivi</t>
  </si>
  <si>
    <t>Rimborso quota capitale</t>
  </si>
  <si>
    <t xml:space="preserve"> - Riserve</t>
  </si>
  <si>
    <t xml:space="preserve"> - Fondo per rischi ed oneri</t>
  </si>
  <si>
    <t xml:space="preserve"> - Utile (perdita) d'esercizio</t>
  </si>
  <si>
    <t xml:space="preserve"> - Utili (perdite) portati a nuovo</t>
  </si>
  <si>
    <t>Salari e stipendi</t>
  </si>
  <si>
    <t>Oneri sociali</t>
  </si>
  <si>
    <t xml:space="preserve"> - Aumenti di capitale</t>
  </si>
  <si>
    <t>Banche</t>
  </si>
  <si>
    <t>Ricavi</t>
  </si>
  <si>
    <t>CAPEX</t>
  </si>
  <si>
    <t>Inflazione</t>
  </si>
  <si>
    <t>Incremento fatturato</t>
  </si>
  <si>
    <t>Accantonamento T.F.R.</t>
  </si>
  <si>
    <t>gg. medi pagamento fornitori infrastrutture</t>
  </si>
  <si>
    <t>gg. medi pagamento fornitori</t>
  </si>
  <si>
    <t>gg. medi incasso crediti</t>
  </si>
  <si>
    <t>2 - Costi operativi</t>
  </si>
  <si>
    <t>2.7 - Consulenze</t>
  </si>
  <si>
    <t>3 - M.O.L.</t>
  </si>
  <si>
    <t>4 - Ammortamenti</t>
  </si>
  <si>
    <t>5 - Accantonamento T.F.R.</t>
  </si>
  <si>
    <t>Inflazione cumulata</t>
  </si>
  <si>
    <t>Revisione generale</t>
  </si>
  <si>
    <t>Revisione speciale</t>
  </si>
  <si>
    <t>Valore residuo</t>
  </si>
  <si>
    <t>Ammortamento Immobilizzazioni</t>
  </si>
  <si>
    <t>Valori in Euro</t>
  </si>
  <si>
    <t xml:space="preserve">%
amm.to </t>
  </si>
  <si>
    <t>valore
totale</t>
  </si>
  <si>
    <t>TOTALE AMMORTAMENTO</t>
  </si>
  <si>
    <t>TOTALE VALORE RESIDUO</t>
  </si>
  <si>
    <t>TOTALE GENERALE AMMORTAMENTO</t>
  </si>
  <si>
    <t>TOTALE GENEALE VALORE RESIDUO</t>
  </si>
  <si>
    <t>TOTALE INVESTIMENTI</t>
  </si>
  <si>
    <t>INVESTIMENTI CUMULATI</t>
  </si>
  <si>
    <t>Immobilizzazioni immateriali</t>
  </si>
  <si>
    <t>Versamento dell'anno all'erario</t>
  </si>
  <si>
    <t>Rimborsi dell'anno dall'erario</t>
  </si>
  <si>
    <t>Totale</t>
  </si>
  <si>
    <t>IMMOBILIZZAZIONI PREESISTENTI (VALORE RESIDUO)</t>
  </si>
  <si>
    <t>ctrl</t>
  </si>
  <si>
    <t>2 - Totale costi operativi</t>
  </si>
  <si>
    <t>Variazione C.C.N.</t>
  </si>
  <si>
    <t xml:space="preserve"> - M.O.L.</t>
  </si>
  <si>
    <t xml:space="preserve"> - CAPEX</t>
  </si>
  <si>
    <t xml:space="preserve"> - Variazione C.C.N.</t>
  </si>
  <si>
    <t xml:space="preserve"> - Proventi (oneri) finanziari</t>
  </si>
  <si>
    <t>Perdita</t>
  </si>
  <si>
    <t>Perdita utilizzata</t>
  </si>
  <si>
    <t>Perdita disponibile netta</t>
  </si>
  <si>
    <t>Totale attività correnti</t>
  </si>
  <si>
    <t>I.V.A. a credito</t>
  </si>
  <si>
    <t>I.V.A. a debito</t>
  </si>
  <si>
    <t>Saldo I.V.A. dell'anno</t>
  </si>
  <si>
    <t>Riporto I.V.A. dell'anno precedente</t>
  </si>
  <si>
    <t xml:space="preserve"> - Erario conto I.V.A.</t>
  </si>
  <si>
    <t>Erario conto I.V.A.</t>
  </si>
  <si>
    <t>Totale attività immobilizzate</t>
  </si>
  <si>
    <t>Totale passività correnti</t>
  </si>
  <si>
    <t>Totale passività consolidate</t>
  </si>
  <si>
    <t>Totale patrimonio netto</t>
  </si>
  <si>
    <t>Totale passività correnti e consolid.</t>
  </si>
  <si>
    <t>TOTALE ATTIVO</t>
  </si>
  <si>
    <t>Posizione finanziaria netta iniziale</t>
  </si>
  <si>
    <t>Posizione finanziaria netta finale</t>
  </si>
  <si>
    <r>
      <t>K</t>
    </r>
    <r>
      <rPr>
        <vertAlign val="subscript"/>
        <sz val="9"/>
        <rFont val="Comic Sans MS"/>
        <family val="4"/>
      </rPr>
      <t>e</t>
    </r>
  </si>
  <si>
    <t>I.R.A.P.</t>
  </si>
  <si>
    <r>
      <t>A.L.D.S.C.R. (</t>
    </r>
    <r>
      <rPr>
        <i/>
        <sz val="9"/>
        <rFont val="Comic Sans MS"/>
        <family val="4"/>
      </rPr>
      <t>Average loan debt service cover ratio</t>
    </r>
    <r>
      <rPr>
        <sz val="9"/>
        <rFont val="Comic Sans MS"/>
        <family val="4"/>
      </rPr>
      <t>)</t>
    </r>
  </si>
  <si>
    <t>D/E</t>
  </si>
  <si>
    <t>C.C.N. (Capitale circolante netto)</t>
  </si>
  <si>
    <t>Tasso interesse c/c attivo</t>
  </si>
  <si>
    <t>Tasso interesse c/c passivo</t>
  </si>
  <si>
    <t>Tasso di interesse su fin. bancario</t>
  </si>
  <si>
    <t>Durata del finanziamento bancario</t>
  </si>
  <si>
    <t>Aliquota I.R.A.P.</t>
  </si>
  <si>
    <t>Finanziamenti pubblici:</t>
  </si>
  <si>
    <t xml:space="preserve"> - Finanziamenti pubblici</t>
  </si>
  <si>
    <t>Aliquote I.V.A.:</t>
  </si>
  <si>
    <t>Ricavi di vendita</t>
  </si>
  <si>
    <t>Limite annuo per compensazione rimborsi</t>
  </si>
  <si>
    <t>I.V.A. (Euro '000)</t>
  </si>
  <si>
    <t>Controllo</t>
  </si>
  <si>
    <r>
      <t>V.A.N. (</t>
    </r>
    <r>
      <rPr>
        <i/>
        <sz val="9"/>
        <rFont val="Comic Sans MS"/>
        <family val="4"/>
      </rPr>
      <t>Net present value</t>
    </r>
    <r>
      <rPr>
        <sz val="9"/>
        <rFont val="Comic Sans MS"/>
        <family val="4"/>
      </rPr>
      <t>)</t>
    </r>
  </si>
  <si>
    <r>
      <t>A.D.S.C.R. (</t>
    </r>
    <r>
      <rPr>
        <i/>
        <sz val="9"/>
        <rFont val="Comic Sans MS"/>
        <family val="4"/>
      </rPr>
      <t>Annual debt service cover ratio</t>
    </r>
    <r>
      <rPr>
        <sz val="9"/>
        <rFont val="Comic Sans MS"/>
        <family val="4"/>
      </rPr>
      <t>)</t>
    </r>
  </si>
  <si>
    <t>Investimenti:</t>
  </si>
  <si>
    <t>Aliquote amm.to investimenti:</t>
  </si>
  <si>
    <t>7 - Risultato operativo</t>
  </si>
  <si>
    <t>9 - Risultato ante imposte</t>
  </si>
  <si>
    <t>10 - Imposte e tasse</t>
  </si>
  <si>
    <t>11 - Risultato netto</t>
  </si>
  <si>
    <t>Acconto T.F.R. (50% da 1 a 5 anni)</t>
  </si>
  <si>
    <t>6 - Acc.to fondo rischi ed oneri</t>
  </si>
  <si>
    <t xml:space="preserve"> - TFR da liquidare</t>
  </si>
  <si>
    <t xml:space="preserve"> - T.F.R. da liquidare</t>
  </si>
  <si>
    <t>FREE CASH FLOW</t>
  </si>
  <si>
    <t>Debiti finanziari
a medio-lungo termine</t>
  </si>
  <si>
    <t>Debiti finanziari
a breve termine</t>
  </si>
  <si>
    <t>Patrimonio netto</t>
  </si>
  <si>
    <t>Debiti finanz. a breve
- Ipotesi "Base"</t>
  </si>
  <si>
    <t>Debiti finanz. a breve
- Ipotesi "Pessimistica"</t>
  </si>
  <si>
    <t>Debiti finanz. a breve
- Ipotesi "Ottimistica"</t>
  </si>
  <si>
    <t>Patr. netto
- Ipotesi "Base"</t>
  </si>
  <si>
    <t>Patr. Netto
- Ipotesi "Pessimistica"</t>
  </si>
  <si>
    <t>Patr. Netto
- Ipotesi "Ottimistica"</t>
  </si>
  <si>
    <t>Attrezzature</t>
  </si>
  <si>
    <t>Aliquota I.R.E.S.</t>
  </si>
  <si>
    <t>Valori in Euro '000</t>
  </si>
  <si>
    <t>Anno 1</t>
  </si>
  <si>
    <t>Anno 2</t>
  </si>
  <si>
    <t>Anno 3</t>
  </si>
  <si>
    <t>Anno 4</t>
  </si>
  <si>
    <t>Anno 5</t>
  </si>
  <si>
    <t>Anno 6</t>
  </si>
  <si>
    <t>Anno 7</t>
  </si>
  <si>
    <t>Anno 8</t>
  </si>
  <si>
    <t>Anno 9</t>
  </si>
  <si>
    <t>Anno 10</t>
  </si>
  <si>
    <t>Anno 11</t>
  </si>
  <si>
    <t>Anno 12</t>
  </si>
  <si>
    <t>Anno 13</t>
  </si>
  <si>
    <t>Anno 14</t>
  </si>
  <si>
    <t>Anno 15</t>
  </si>
  <si>
    <t>Anno 16</t>
  </si>
  <si>
    <t>Anno 17</t>
  </si>
  <si>
    <t>Anno 18</t>
  </si>
  <si>
    <t>Anno 19</t>
  </si>
  <si>
    <t>Anno 20</t>
  </si>
  <si>
    <t>Anno 21</t>
  </si>
  <si>
    <t>Anno 22</t>
  </si>
  <si>
    <t>Anno 23</t>
  </si>
  <si>
    <t>Anno 24</t>
  </si>
  <si>
    <t>Anno 25</t>
  </si>
  <si>
    <t>Anno 26</t>
  </si>
  <si>
    <t>Anno 27</t>
  </si>
  <si>
    <t>Anno 28</t>
  </si>
  <si>
    <t>Anno 29</t>
  </si>
  <si>
    <t>Anno 30</t>
  </si>
  <si>
    <t>Anno 31</t>
  </si>
  <si>
    <t>Anno 32</t>
  </si>
  <si>
    <t>Anno 33</t>
  </si>
  <si>
    <t>Anno 34</t>
  </si>
  <si>
    <t>Anno 0</t>
  </si>
  <si>
    <t>Anno -1</t>
  </si>
  <si>
    <t>Anno -2</t>
  </si>
  <si>
    <t>Importo finanziamento bancario</t>
  </si>
  <si>
    <t>DCF</t>
  </si>
  <si>
    <t>Tasso di attualizzazione</t>
  </si>
  <si>
    <t>DCF cumulato</t>
  </si>
  <si>
    <t>DCF attualizzato a (n-1) (certo equivalente)</t>
  </si>
  <si>
    <t>Tasso di attualizzazione Rf</t>
  </si>
  <si>
    <t>DCF attualizzato a Rf</t>
  </si>
  <si>
    <t>Calcolo del tasso di attualizzazione</t>
  </si>
  <si>
    <t>incidenza debito</t>
  </si>
  <si>
    <t>incidenza equity</t>
  </si>
  <si>
    <t>Beta unlevered</t>
  </si>
  <si>
    <t>Rf</t>
  </si>
  <si>
    <t>(Rm-Rf)</t>
  </si>
  <si>
    <t>Beta relevered</t>
  </si>
  <si>
    <t>Ke</t>
  </si>
  <si>
    <t>WACC</t>
  </si>
  <si>
    <t>Calcolo del TV</t>
  </si>
  <si>
    <t>Tasso di crescita del fatturato</t>
  </si>
  <si>
    <t xml:space="preserve">Tasso di crescita dei flussi </t>
  </si>
  <si>
    <t>TV</t>
  </si>
  <si>
    <t>Valore impresa (DCF + TV)</t>
  </si>
  <si>
    <t>Debito (Euro '000)</t>
  </si>
  <si>
    <t>Equity (Euro '000)</t>
  </si>
  <si>
    <t>NFCF</t>
  </si>
  <si>
    <t>Recreation</t>
  </si>
  <si>
    <t>Restaurant</t>
  </si>
  <si>
    <t>Hotel/Gaming</t>
  </si>
  <si>
    <t>Settore</t>
  </si>
  <si>
    <t>Peso %</t>
  </si>
  <si>
    <t>Media ponderata del Beta unlevered</t>
  </si>
  <si>
    <t>t</t>
  </si>
  <si>
    <t>Kd*(1-t)</t>
  </si>
  <si>
    <t>Tasso di crescita</t>
  </si>
  <si>
    <t>Media ponderata del tasso di crescita</t>
  </si>
  <si>
    <t>Kd</t>
  </si>
  <si>
    <t>Media tasso di crescita del fatturato</t>
  </si>
  <si>
    <t>Ipotesi tasso di crescita dei flussi</t>
  </si>
  <si>
    <t>Media WACC</t>
  </si>
  <si>
    <t>ROE</t>
  </si>
  <si>
    <t>ROE/ke</t>
  </si>
  <si>
    <t>Indici di Bilancio</t>
  </si>
  <si>
    <t>Indici di Liquidità</t>
  </si>
  <si>
    <t>Quoziente di liquidità</t>
  </si>
  <si>
    <t>Margine di Tesoreria</t>
  </si>
  <si>
    <t>Quoziente di disponibilità</t>
  </si>
  <si>
    <t>Indici di Solidità</t>
  </si>
  <si>
    <t>Tasso d'indebitamento MT/MP</t>
  </si>
  <si>
    <t>Copertura Immobiliz.= MP/NA</t>
  </si>
  <si>
    <t>Indici di Redditività</t>
  </si>
  <si>
    <t>Tasso rotaz. Capitale investito</t>
  </si>
  <si>
    <t>ROS</t>
  </si>
  <si>
    <t>ROI</t>
  </si>
  <si>
    <t>RONA = RO/NA</t>
  </si>
  <si>
    <t>i = costo MT</t>
  </si>
  <si>
    <t>Spread = ROI - i</t>
  </si>
  <si>
    <t>RdC = Ris.dC/MP iniz.</t>
  </si>
  <si>
    <t>Utile netto/RdC</t>
  </si>
  <si>
    <t>ROE = RO/MP iniz.</t>
  </si>
  <si>
    <t>Leva Finanziaria:</t>
  </si>
  <si>
    <t>ROE = RN/RO * RO/NA * NA/MP</t>
  </si>
  <si>
    <t>incid. Imposte e compon. Straord.</t>
  </si>
  <si>
    <t>tasso ritenz. Utili</t>
  </si>
  <si>
    <t>tasso autofin.</t>
  </si>
  <si>
    <t>Indici di Sviluppo</t>
  </si>
  <si>
    <t>tasso variaz. Attività</t>
  </si>
  <si>
    <t>tasso variaz. MP</t>
  </si>
  <si>
    <t>Aumento di capitale</t>
  </si>
  <si>
    <t xml:space="preserve">Tasso variaz. Ricavi netti </t>
  </si>
  <si>
    <t>Margine di struttura PN - NA</t>
  </si>
  <si>
    <t>ROE = [RONA + (RONA - i)* MT/MP]*(RN/RAI)</t>
  </si>
  <si>
    <r>
      <t>W.A.C.C. (</t>
    </r>
    <r>
      <rPr>
        <i/>
        <sz val="9"/>
        <rFont val="Comic Sans MS"/>
        <family val="4"/>
      </rPr>
      <t>Weighted average cost of capital</t>
    </r>
    <r>
      <rPr>
        <sz val="9"/>
        <rFont val="Comic Sans MS"/>
        <family val="4"/>
      </rPr>
      <t>)</t>
    </r>
  </si>
  <si>
    <t>Appoggio</t>
  </si>
  <si>
    <r>
      <t>K</t>
    </r>
    <r>
      <rPr>
        <vertAlign val="subscript"/>
        <sz val="9"/>
        <rFont val="Comic Sans MS"/>
        <family val="4"/>
      </rPr>
      <t>d</t>
    </r>
  </si>
  <si>
    <t>DCF cumulato a Rf</t>
  </si>
  <si>
    <t>Costi d'impianto</t>
  </si>
  <si>
    <t>Progettazione preliminare</t>
  </si>
  <si>
    <t>Progettazione definitiva</t>
  </si>
  <si>
    <t>Progettazione esecutiva</t>
  </si>
  <si>
    <t>Direzione lavori</t>
  </si>
  <si>
    <t>Contabilità</t>
  </si>
  <si>
    <t>Collaudi</t>
  </si>
  <si>
    <t>Coordinatore di sicurezza (D.lgs. 494/96)</t>
  </si>
  <si>
    <t>Studio di fattibilità</t>
  </si>
  <si>
    <t>Oneri della sicurezza (D.lgs. 494/96)</t>
  </si>
  <si>
    <t>%</t>
  </si>
  <si>
    <t>Euro '000</t>
  </si>
  <si>
    <t xml:space="preserve">Altri costi d'impianto </t>
  </si>
  <si>
    <t>Spese per competenze economico-finanziarie</t>
  </si>
  <si>
    <t>Spese per competenze ingegneristiche</t>
  </si>
  <si>
    <t>Totale altri costi d'impianto</t>
  </si>
  <si>
    <t>Totale Immobilizzazioni immateriali</t>
  </si>
  <si>
    <t>2.2 - Sistema informativo</t>
  </si>
  <si>
    <t>2.3 - Personale</t>
  </si>
  <si>
    <t>2.4 - Costi generali</t>
  </si>
  <si>
    <t>2.6 - Canone concessione</t>
  </si>
  <si>
    <t>2.1 - Consumi materiale ed energia</t>
  </si>
  <si>
    <t>2.5 - Spese amministrative, assicurazione, mkt e varie</t>
  </si>
  <si>
    <t>Oneri urbanizzazione</t>
  </si>
  <si>
    <t>Costo di costruzione</t>
  </si>
  <si>
    <t>CdC</t>
  </si>
  <si>
    <t>Mansione</t>
  </si>
  <si>
    <t>Numero</t>
  </si>
  <si>
    <t>Livello</t>
  </si>
  <si>
    <t>Costo annuo totale</t>
  </si>
  <si>
    <t>Lordo per livello</t>
  </si>
  <si>
    <t>Costo per livello</t>
  </si>
  <si>
    <t>Oneri previdenziali</t>
  </si>
  <si>
    <t>TFR</t>
  </si>
  <si>
    <t>Lordo annuo totale</t>
  </si>
  <si>
    <t>Oneri prev.li annui totali</t>
  </si>
  <si>
    <t>TFR annuo totale</t>
  </si>
  <si>
    <t>part time</t>
  </si>
  <si>
    <t>Area disponibile (mq)</t>
  </si>
  <si>
    <t>Totale ricavi</t>
  </si>
  <si>
    <t>Affitto</t>
  </si>
  <si>
    <t>Utenze e Servizi</t>
  </si>
  <si>
    <t>Forniture per ufficio</t>
  </si>
  <si>
    <t>IT (software, hardware)</t>
  </si>
  <si>
    <t>Altre spese</t>
  </si>
  <si>
    <t>Consulenze legali, fiscali ed amministrative</t>
  </si>
  <si>
    <t>N</t>
  </si>
  <si>
    <t>Provincia</t>
  </si>
  <si>
    <t>Comuni</t>
  </si>
  <si>
    <t>Numero di azioni AQP per comune</t>
  </si>
  <si>
    <t>Peso percentuale rispetto al capitale sociale di AQP</t>
  </si>
  <si>
    <t>BA</t>
  </si>
  <si>
    <t>TA</t>
  </si>
  <si>
    <t>TARANTO</t>
  </si>
  <si>
    <t>FG</t>
  </si>
  <si>
    <t>FOGGIA</t>
  </si>
  <si>
    <t>LE</t>
  </si>
  <si>
    <t>LECCE</t>
  </si>
  <si>
    <t>BAT</t>
  </si>
  <si>
    <t>BARLETTA</t>
  </si>
  <si>
    <t>BR</t>
  </si>
  <si>
    <t>FASANO</t>
  </si>
  <si>
    <t>BRINDISI</t>
  </si>
  <si>
    <t>CERIGNOLA</t>
  </si>
  <si>
    <t>ANDRIA</t>
  </si>
  <si>
    <t>CORATO</t>
  </si>
  <si>
    <t>MANFREDONIA</t>
  </si>
  <si>
    <t>MONOPOLI</t>
  </si>
  <si>
    <t>SAN SEVERO</t>
  </si>
  <si>
    <t>BISCEGLIE</t>
  </si>
  <si>
    <t>TRANI</t>
  </si>
  <si>
    <t>ALTAMURA</t>
  </si>
  <si>
    <t>MOLFETTA</t>
  </si>
  <si>
    <t>OSTUNI</t>
  </si>
  <si>
    <t>LATERZA</t>
  </si>
  <si>
    <t>GROTTAGLIE</t>
  </si>
  <si>
    <t>BITONTO</t>
  </si>
  <si>
    <t>TRICASE</t>
  </si>
  <si>
    <t>MARTINA FRANCA</t>
  </si>
  <si>
    <t>UGENTO</t>
  </si>
  <si>
    <t>MASSAFRA</t>
  </si>
  <si>
    <t>GINOSA</t>
  </si>
  <si>
    <t>MELENDUGNO</t>
  </si>
  <si>
    <t>CAROVIGNO</t>
  </si>
  <si>
    <t>GALATINA</t>
  </si>
  <si>
    <t>GRAVINA IN PUGLIA</t>
  </si>
  <si>
    <t>CONVERSANO</t>
  </si>
  <si>
    <t>PUTIGNANO</t>
  </si>
  <si>
    <t>LUCERA</t>
  </si>
  <si>
    <t>GIOVINAZZO</t>
  </si>
  <si>
    <t>FRANCAVILLA FONTANA</t>
  </si>
  <si>
    <t>MOLA DI BARI</t>
  </si>
  <si>
    <t>OTRANTO</t>
  </si>
  <si>
    <t>GALATONE</t>
  </si>
  <si>
    <t>GALLIPOLI</t>
  </si>
  <si>
    <t>CASTELLANETA</t>
  </si>
  <si>
    <t>CANOSA DI PUGLIA</t>
  </si>
  <si>
    <t>COPERTINO</t>
  </si>
  <si>
    <t>MODUGNO</t>
  </si>
  <si>
    <t>SAN GIOVANNI ROTONDO</t>
  </si>
  <si>
    <t>MESAGNE</t>
  </si>
  <si>
    <t>CASSANO DELLE MURGE</t>
  </si>
  <si>
    <t>LEPORANO</t>
  </si>
  <si>
    <t>MANDURIA</t>
  </si>
  <si>
    <t>SANTERAMO IN COLLE</t>
  </si>
  <si>
    <t>CEGLIE MESSAPICA</t>
  </si>
  <si>
    <t>Allegato A: Quote di partecipazione</t>
  </si>
  <si>
    <t>RACALE</t>
  </si>
  <si>
    <t>ACQUAVIVA DELLE FONTI</t>
  </si>
  <si>
    <t>CASARANO</t>
  </si>
  <si>
    <t>SAN VITO DEI NORMANNI</t>
  </si>
  <si>
    <t>CISTERNINO</t>
  </si>
  <si>
    <t>VIESTE</t>
  </si>
  <si>
    <t>RUVO DI PUGLIA</t>
  </si>
  <si>
    <t>SANTA CESAREA TERME</t>
  </si>
  <si>
    <t>BICCARI</t>
  </si>
  <si>
    <t>RUTIGLIANO</t>
  </si>
  <si>
    <t>NOCI</t>
  </si>
  <si>
    <t>GIOIA DEL COLLE</t>
  </si>
  <si>
    <t>SAN NICANDRO GARGANICO</t>
  </si>
  <si>
    <t>PRESICCE-ACQUARICA</t>
  </si>
  <si>
    <t>SQUINZANO</t>
  </si>
  <si>
    <t>POLIGNANO A MARE</t>
  </si>
  <si>
    <t>CARMIANO</t>
  </si>
  <si>
    <t>TURI</t>
  </si>
  <si>
    <t>ORIA</t>
  </si>
  <si>
    <t>STATTE</t>
  </si>
  <si>
    <t>PALO DEL COLLE</t>
  </si>
  <si>
    <t>CORIGLIANO D'OTRANTO</t>
  </si>
  <si>
    <t>TRINITAPOLI</t>
  </si>
  <si>
    <t>NOICATTARO</t>
  </si>
  <si>
    <t>VEGLIE</t>
  </si>
  <si>
    <t>APRICENA</t>
  </si>
  <si>
    <t>TORREMAGGIORE</t>
  </si>
  <si>
    <t>CRISPIANO</t>
  </si>
  <si>
    <t>SAN PIETRO VERNOTICO</t>
  </si>
  <si>
    <t>LEVERANO</t>
  </si>
  <si>
    <t>MOTTOLA</t>
  </si>
  <si>
    <t>RUFFANO</t>
  </si>
  <si>
    <t>VERNOLE</t>
  </si>
  <si>
    <t>MAGLIE</t>
  </si>
  <si>
    <t>SALVE</t>
  </si>
  <si>
    <t>TREPUZZI</t>
  </si>
  <si>
    <t>TORCHIAROLO</t>
  </si>
  <si>
    <t>MATINO</t>
  </si>
  <si>
    <t>CASTRIGNANO DEL CAPO</t>
  </si>
  <si>
    <t>TAVIANO</t>
  </si>
  <si>
    <t>AVETRANA</t>
  </si>
  <si>
    <t>CASTELLANA GROTTE</t>
  </si>
  <si>
    <t>ALBEROBELLO</t>
  </si>
  <si>
    <t>MONTE SANT'ANGELO</t>
  </si>
  <si>
    <t>MONTEIASI</t>
  </si>
  <si>
    <t>SURBO</t>
  </si>
  <si>
    <t>CASAMASSIMA</t>
  </si>
  <si>
    <t>SAN MARCO IN LAMIS</t>
  </si>
  <si>
    <t>PULSANO</t>
  </si>
  <si>
    <t>LESINA</t>
  </si>
  <si>
    <t>ERCHIE</t>
  </si>
  <si>
    <t>MARGHERITA DI SAVOIA</t>
  </si>
  <si>
    <t>VICO DEL GARGANO</t>
  </si>
  <si>
    <t>SAN FERDINANDO DI PUGLIA</t>
  </si>
  <si>
    <t>PARABITA</t>
  </si>
  <si>
    <t>PALAGIANO</t>
  </si>
  <si>
    <t>SAN PANCRAZIO SALENTINO</t>
  </si>
  <si>
    <t>TAURISANO</t>
  </si>
  <si>
    <t>ORTA NOVA</t>
  </si>
  <si>
    <t>RODI GARGANICO</t>
  </si>
  <si>
    <t>LOCOROTONDO</t>
  </si>
  <si>
    <t>PORTO CESAREO</t>
  </si>
  <si>
    <t>CAMPI SALENTINA</t>
  </si>
  <si>
    <t>SAN GIORGIO IONICO</t>
  </si>
  <si>
    <t>MINERVINO MURGE</t>
  </si>
  <si>
    <t>TERLIZZI</t>
  </si>
  <si>
    <t>CAVALLINO</t>
  </si>
  <si>
    <t>POGGIARDO</t>
  </si>
  <si>
    <t>TORITTO</t>
  </si>
  <si>
    <t>LIZZANO</t>
  </si>
  <si>
    <t>LATIANO</t>
  </si>
  <si>
    <t>MONTERONI DI LECCE</t>
  </si>
  <si>
    <t>VILLA CASTELLI</t>
  </si>
  <si>
    <t>MARUGGIO</t>
  </si>
  <si>
    <t>TROIA</t>
  </si>
  <si>
    <t>ANDRANO</t>
  </si>
  <si>
    <t>ARADEO</t>
  </si>
  <si>
    <t>ALESSANO</t>
  </si>
  <si>
    <t>TRIGGIANO</t>
  </si>
  <si>
    <t>RIGNANO GARGANICO</t>
  </si>
  <si>
    <t>GRUMO APPULA</t>
  </si>
  <si>
    <t>MORCIANO DI LEUCA</t>
  </si>
  <si>
    <t>SANNICANDRO DI BARI</t>
  </si>
  <si>
    <t>TORRE SANTA SUSANNA</t>
  </si>
  <si>
    <t>SAN MICHELE SALENTINO</t>
  </si>
  <si>
    <t>SAN MARZANO DI SAN GIUSEPPE</t>
  </si>
  <si>
    <t>LIZZANELLO</t>
  </si>
  <si>
    <t>VALENZANO</t>
  </si>
  <si>
    <t>SAMMICHELE DI BARI</t>
  </si>
  <si>
    <t>ADELFIA</t>
  </si>
  <si>
    <t>SALICE SALENTINO</t>
  </si>
  <si>
    <t>ISOLE TREMITI</t>
  </si>
  <si>
    <t>VOLTURARA APPULA</t>
  </si>
  <si>
    <t>CALIMERA</t>
  </si>
  <si>
    <t>SAN DONACI</t>
  </si>
  <si>
    <t>CUTROFIANO</t>
  </si>
  <si>
    <t>SPECCHIA</t>
  </si>
  <si>
    <t>CELLINO SAN MARCO</t>
  </si>
  <si>
    <t>GUAGNANO</t>
  </si>
  <si>
    <t>COLLEPASSO</t>
  </si>
  <si>
    <t>BITETTO</t>
  </si>
  <si>
    <t>SANNICOLA</t>
  </si>
  <si>
    <t>MARTANO</t>
  </si>
  <si>
    <t>GAGLIANO DEL CAPO</t>
  </si>
  <si>
    <t>CAPURSO</t>
  </si>
  <si>
    <t>UGGIANO LA CHIESA</t>
  </si>
  <si>
    <t>DISO</t>
  </si>
  <si>
    <t>BOVINO</t>
  </si>
  <si>
    <t>BITRITTO</t>
  </si>
  <si>
    <t>SPINAZZOLA</t>
  </si>
  <si>
    <t>MELISSANO</t>
  </si>
  <si>
    <t>ASCOLI SATRIANO</t>
  </si>
  <si>
    <t>CAROSINO</t>
  </si>
  <si>
    <t>SAN DONATO DI LECCE</t>
  </si>
  <si>
    <t>ORDONA</t>
  </si>
  <si>
    <t>NOVOLI</t>
  </si>
  <si>
    <t>LEQUILE</t>
  </si>
  <si>
    <t>TUGLIE</t>
  </si>
  <si>
    <t>SCORRANO</t>
  </si>
  <si>
    <t>SOLETO</t>
  </si>
  <si>
    <t>SUPERSANO</t>
  </si>
  <si>
    <t>PALAGIANELLO</t>
  </si>
  <si>
    <t>SAN PAOLO DI CIVITATE</t>
  </si>
  <si>
    <t>SAVA</t>
  </si>
  <si>
    <t>MATTINATA</t>
  </si>
  <si>
    <t>CASTELNUOVO DELLA DAUNIA</t>
  </si>
  <si>
    <t>TORRICELLA</t>
  </si>
  <si>
    <t>CORSANO</t>
  </si>
  <si>
    <t>MINERVINO DI LECCE</t>
  </si>
  <si>
    <t>CURSI</t>
  </si>
  <si>
    <t>CAGNANO VARANO</t>
  </si>
  <si>
    <t>CARPIGNANO SALENTINO</t>
  </si>
  <si>
    <t>SOGLIANO CAVOUR</t>
  </si>
  <si>
    <t>CASTRO</t>
  </si>
  <si>
    <t>MURO LECCESE</t>
  </si>
  <si>
    <t>SERRACAPRIOLA</t>
  </si>
  <si>
    <t>ORTELLE</t>
  </si>
  <si>
    <t>STORNARELLA</t>
  </si>
  <si>
    <t>NEVIANO</t>
  </si>
  <si>
    <t>SPONGANO</t>
  </si>
  <si>
    <t>MIGGIANO</t>
  </si>
  <si>
    <t>ISCHITELLA</t>
  </si>
  <si>
    <t>CANDELA</t>
  </si>
  <si>
    <t>ORSARA DI PUGLIA</t>
  </si>
  <si>
    <t>FRAGAGNANO</t>
  </si>
  <si>
    <t>CARPINO</t>
  </si>
  <si>
    <t>MELPIGNANO</t>
  </si>
  <si>
    <t>STORNARA</t>
  </si>
  <si>
    <t>CAPRARICA DI LECCE</t>
  </si>
  <si>
    <t>PESCHICI</t>
  </si>
  <si>
    <t>SAN CASSIANO</t>
  </si>
  <si>
    <t>PIETRAMONTECORVINO</t>
  </si>
  <si>
    <t>ALEZIO</t>
  </si>
  <si>
    <t>CELLAMARE</t>
  </si>
  <si>
    <t>PATÙ</t>
  </si>
  <si>
    <t>SAN CESARIO DI LECCE</t>
  </si>
  <si>
    <t>NOCIGLIA</t>
  </si>
  <si>
    <t>ROCCHETTA SANT'ANTONIO</t>
  </si>
  <si>
    <t>ARNESANO</t>
  </si>
  <si>
    <t>BOTRUGNO</t>
  </si>
  <si>
    <t>STERNATIA</t>
  </si>
  <si>
    <t>CASTELLUCCIO VALMAGGIORE</t>
  </si>
  <si>
    <t>POGGIO IMPERIALE</t>
  </si>
  <si>
    <t>SANARICA</t>
  </si>
  <si>
    <t>TIGGIANO</t>
  </si>
  <si>
    <t>CASTRI DI LECCE</t>
  </si>
  <si>
    <t>ZAPPONETA</t>
  </si>
  <si>
    <t>ALLISTE</t>
  </si>
  <si>
    <t>FAGGIANO</t>
  </si>
  <si>
    <t>MONTEMESOLA</t>
  </si>
  <si>
    <t>GIURDIGNANO</t>
  </si>
  <si>
    <t>SANT'AGATA DI PUGLIA</t>
  </si>
  <si>
    <t>CANNOLE</t>
  </si>
  <si>
    <t>MARTIGNANO</t>
  </si>
  <si>
    <t>DELICETO</t>
  </si>
  <si>
    <t>SAN PIETRO IN LAMA</t>
  </si>
  <si>
    <t>ANZANO DI PUGLIA</t>
  </si>
  <si>
    <t>MONTESANO SALENTINO</t>
  </si>
  <si>
    <t>CHIEUTI</t>
  </si>
  <si>
    <t>ACCADIA</t>
  </si>
  <si>
    <t>CARAPELLE</t>
  </si>
  <si>
    <t>MONTELEONE DI PUGLIA</t>
  </si>
  <si>
    <t>CASALNUOVO MONTEROTARO</t>
  </si>
  <si>
    <t>SURANO</t>
  </si>
  <si>
    <t>CASTELLUCCIO DEI SAURI</t>
  </si>
  <si>
    <t>PALMARIGGI</t>
  </si>
  <si>
    <t>CASALVECCHIO DI PUGLIA</t>
  </si>
  <si>
    <t>ROCCAFORZATA</t>
  </si>
  <si>
    <t>SECLÌ</t>
  </si>
  <si>
    <t>ZOLLINO</t>
  </si>
  <si>
    <t>GIUGGIANELLO</t>
  </si>
  <si>
    <t>ROSETO VALFORTORE</t>
  </si>
  <si>
    <t>BAGNOLO DEL SALENTO</t>
  </si>
  <si>
    <t>PANNI</t>
  </si>
  <si>
    <t>BINETTO</t>
  </si>
  <si>
    <t>MONTEPARANO</t>
  </si>
  <si>
    <t>POGGIORSINI</t>
  </si>
  <si>
    <t>MOTTA MONTECORVINO</t>
  </si>
  <si>
    <t>FAETO</t>
  </si>
  <si>
    <t>SAN MARCO LA CATOLA</t>
  </si>
  <si>
    <t>CELENZA VALFORTORE</t>
  </si>
  <si>
    <t>VOLTURINO</t>
  </si>
  <si>
    <t>ALBERONA</t>
  </si>
  <si>
    <t>CARLANTINO</t>
  </si>
  <si>
    <t>CELLE DI SAN VITO</t>
  </si>
  <si>
    <t>TOTALE</t>
  </si>
  <si>
    <t>Capitale sociale Società Veicolo</t>
  </si>
  <si>
    <t>Valore capitale sociale nella Società Veicolo</t>
  </si>
  <si>
    <t>VERSATO
(SI / NO)</t>
  </si>
  <si>
    <t>Full time / Part time</t>
  </si>
  <si>
    <t>Minimo</t>
  </si>
  <si>
    <t>E.D.R.</t>
  </si>
  <si>
    <t>Indennità di funzione</t>
  </si>
  <si>
    <t>Q</t>
  </si>
  <si>
    <t>13 esima</t>
  </si>
  <si>
    <t>14 esima</t>
  </si>
  <si>
    <t>Responsabile amministrativo</t>
  </si>
  <si>
    <t>Responsabile anticorruzione</t>
  </si>
  <si>
    <t>PERS</t>
  </si>
  <si>
    <t>Full time</t>
  </si>
  <si>
    <t>1 - Ricavi</t>
  </si>
  <si>
    <t>Lordo 12 m</t>
  </si>
  <si>
    <t>Lordo 13 m</t>
  </si>
  <si>
    <t>Lordo 14 m</t>
  </si>
  <si>
    <t>2.1 - Spese amministrative</t>
  </si>
  <si>
    <t>Collegio sindacale</t>
  </si>
  <si>
    <t>Società di revisione</t>
  </si>
  <si>
    <t>Comitato di coordinamento</t>
  </si>
  <si>
    <t>2.5 - Spese organi statutari</t>
  </si>
  <si>
    <t>I.R.E.S.</t>
  </si>
  <si>
    <t>Totale I.R.E.S. e I.R.A.P.</t>
  </si>
  <si>
    <t>1.3 - Dividendi da distribuzione utili da Acquedotto Pugliese S.p.A.</t>
  </si>
  <si>
    <t>8.2 - Proventi (oneri) finanziari</t>
  </si>
  <si>
    <t>1.1 - Ricavi da contributi straordinari dalla Regione</t>
  </si>
  <si>
    <t>1.1.2 contributi straordinari dalla Regione ex L.R. ......</t>
  </si>
  <si>
    <t>1.2 - Ricavi da contributi straordinari da altri Enti</t>
  </si>
  <si>
    <t>Totali</t>
  </si>
  <si>
    <t>Valore di 1 azione</t>
  </si>
  <si>
    <t>Capitale sociale AQP</t>
  </si>
  <si>
    <t>€ 41.385.573,60</t>
  </si>
  <si>
    <t>Retribuzione</t>
  </si>
  <si>
    <t>Area Funzionari ed Elevata Qualificazione</t>
  </si>
  <si>
    <t>Nuova retribuzione tabellare annua  dal 1 1 2024</t>
  </si>
  <si>
    <t>ELEVATE PROFESSIONALITA'</t>
  </si>
  <si>
    <t>FUNZIONARI</t>
  </si>
  <si>
    <t>ASSISTENTI</t>
  </si>
  <si>
    <t>OPERATORI</t>
  </si>
  <si>
    <t> 19.847,64</t>
  </si>
  <si>
    <t>Consiglio di Amministrazione</t>
  </si>
  <si>
    <t>Accantonamento fondo rischi ed oneri (max 250k€)</t>
  </si>
  <si>
    <t>Comuni che vanno in nuova Amministrazione/Dissesto/Riequilibrio</t>
  </si>
  <si>
    <t>Capitale sociale massimo sottoscrivibile</t>
  </si>
  <si>
    <t>% su capitale sociale massimo sottoscrivibile</t>
  </si>
  <si>
    <t>Contributo Regione Puglia ai Comuni per acquisto azioni</t>
  </si>
  <si>
    <t>25% del capitale sociale (h)</t>
  </si>
  <si>
    <t>Contributo straordinario Regione Puglia alla Società Veicolo</t>
  </si>
  <si>
    <t>R</t>
  </si>
  <si>
    <t>D</t>
  </si>
  <si>
    <t>% Capitale sociale massimo sottoscrivibile dai Comuni</t>
  </si>
  <si>
    <t>Capitale sociale massimo sottoscrivibile dai Comuni</t>
  </si>
  <si>
    <t xml:space="preserve">Capitale sociale versato nella Società Veicolo </t>
  </si>
  <si>
    <t>SI</t>
  </si>
  <si>
    <t xml:space="preserve">Puglia  </t>
  </si>
  <si>
    <t xml:space="preserve">Frequenza: Annuale  </t>
  </si>
  <si>
    <t xml:space="preserve">Indicatore: Popolazione al 1º gennaio  </t>
  </si>
  <si>
    <t xml:space="preserve">Età: Totale  </t>
  </si>
  <si>
    <t xml:space="preserve">Stato civile: Totale  </t>
  </si>
  <si>
    <t xml:space="preserve">Tempo  </t>
  </si>
  <si>
    <t xml:space="preserve">2023  </t>
  </si>
  <si>
    <t xml:space="preserve">2024  </t>
  </si>
  <si>
    <t xml:space="preserve">2025  </t>
  </si>
  <si>
    <t xml:space="preserve">Sesso  </t>
  </si>
  <si>
    <t xml:space="preserve">Maschi  </t>
  </si>
  <si>
    <t xml:space="preserve">Femmine  </t>
  </si>
  <si>
    <t xml:space="preserve">Totale  </t>
  </si>
  <si>
    <t xml:space="preserve">Territorio  </t>
  </si>
  <si>
    <t xml:space="preserve">  </t>
  </si>
  <si>
    <t>Abitanti al 01-01-2025</t>
  </si>
  <si>
    <t>Bari</t>
  </si>
  <si>
    <t>Puglia</t>
  </si>
  <si>
    <t>Foggia</t>
  </si>
  <si>
    <t>Accadia</t>
  </si>
  <si>
    <t>Alberona</t>
  </si>
  <si>
    <t>Anzano di Puglia</t>
  </si>
  <si>
    <t>Apricena</t>
  </si>
  <si>
    <t>Ascoli Satriano</t>
  </si>
  <si>
    <t>Biccari</t>
  </si>
  <si>
    <t>Bovino</t>
  </si>
  <si>
    <t>Cagnano Varano</t>
  </si>
  <si>
    <t>Candela</t>
  </si>
  <si>
    <t>Carapelle</t>
  </si>
  <si>
    <t>Carlantino</t>
  </si>
  <si>
    <t>Carpino</t>
  </si>
  <si>
    <t>Casalnuovo Monterotaro</t>
  </si>
  <si>
    <t>Casalvecchio di Puglia</t>
  </si>
  <si>
    <t>Castelluccio dei Sauri</t>
  </si>
  <si>
    <t>Castelluccio Valmaggiore</t>
  </si>
  <si>
    <t>Castelnuovo della Daunia</t>
  </si>
  <si>
    <t>Celenza Valfortore</t>
  </si>
  <si>
    <t>Celle di San Vito</t>
  </si>
  <si>
    <t>Cerignola</t>
  </si>
  <si>
    <t>Chieuti</t>
  </si>
  <si>
    <t>Deliceto</t>
  </si>
  <si>
    <t>Faeto</t>
  </si>
  <si>
    <t>Ischitella</t>
  </si>
  <si>
    <t>Isole Tremiti</t>
  </si>
  <si>
    <t>Lesina</t>
  </si>
  <si>
    <t>Lucera</t>
  </si>
  <si>
    <t>Manfredonia</t>
  </si>
  <si>
    <t>Mattinata</t>
  </si>
  <si>
    <t>Monte Sant'Angelo</t>
  </si>
  <si>
    <t>Monteleone di Puglia</t>
  </si>
  <si>
    <t>Motta Montecorvino</t>
  </si>
  <si>
    <t>Ordona</t>
  </si>
  <si>
    <t>Orsara di Puglia</t>
  </si>
  <si>
    <t>Orta Nova</t>
  </si>
  <si>
    <t>Panni</t>
  </si>
  <si>
    <t>Peschici</t>
  </si>
  <si>
    <t>Pietramontecorvino</t>
  </si>
  <si>
    <t>Poggio Imperiale</t>
  </si>
  <si>
    <t>Rignano Garganico</t>
  </si>
  <si>
    <t>Rocchetta Sant'Antonio</t>
  </si>
  <si>
    <t>Rodi Garganico</t>
  </si>
  <si>
    <t>Roseto Valfortore</t>
  </si>
  <si>
    <t>San Giovanni Rotondo</t>
  </si>
  <si>
    <t>San Marco in Lamis</t>
  </si>
  <si>
    <t>San Marco la Catola</t>
  </si>
  <si>
    <t>San Nicandro Garganico</t>
  </si>
  <si>
    <t>San Paolo di Civitate</t>
  </si>
  <si>
    <t>San Severo</t>
  </si>
  <si>
    <t>Sant'Agata di Puglia</t>
  </si>
  <si>
    <t>Serracapriola</t>
  </si>
  <si>
    <t>Stornara</t>
  </si>
  <si>
    <t>Stornarella</t>
  </si>
  <si>
    <t>Torremaggiore</t>
  </si>
  <si>
    <t>Troia</t>
  </si>
  <si>
    <t>Vico del Gargano</t>
  </si>
  <si>
    <t>Vieste</t>
  </si>
  <si>
    <t>Volturara Appula</t>
  </si>
  <si>
    <t>Volturino</t>
  </si>
  <si>
    <t>Zapponeta</t>
  </si>
  <si>
    <t>Acquaviva delle Fonti</t>
  </si>
  <si>
    <t>Adelfia</t>
  </si>
  <si>
    <t>Alberobello</t>
  </si>
  <si>
    <t>Altamura</t>
  </si>
  <si>
    <t>Binetto</t>
  </si>
  <si>
    <t>Bitetto</t>
  </si>
  <si>
    <t>Bitonto</t>
  </si>
  <si>
    <t>Bitritto</t>
  </si>
  <si>
    <t>Capurso</t>
  </si>
  <si>
    <t>Casamassima</t>
  </si>
  <si>
    <t>Cassano delle Murge</t>
  </si>
  <si>
    <t>Castellana Grotte</t>
  </si>
  <si>
    <t>Cellamare</t>
  </si>
  <si>
    <t>Conversano</t>
  </si>
  <si>
    <t>Corato</t>
  </si>
  <si>
    <t>Gioia del Colle</t>
  </si>
  <si>
    <t>Giovinazzo</t>
  </si>
  <si>
    <t>Gravina in Puglia</t>
  </si>
  <si>
    <t>Grumo Appula</t>
  </si>
  <si>
    <t>Locorotondo</t>
  </si>
  <si>
    <t>Modugno</t>
  </si>
  <si>
    <t>Mola di Bari</t>
  </si>
  <si>
    <t>Molfetta</t>
  </si>
  <si>
    <t>Monopoli</t>
  </si>
  <si>
    <t>Noci</t>
  </si>
  <si>
    <t>Noicattaro</t>
  </si>
  <si>
    <t>Palo del Colle</t>
  </si>
  <si>
    <t>Poggiorsini</t>
  </si>
  <si>
    <t>Polignano a Mare</t>
  </si>
  <si>
    <t>Putignano</t>
  </si>
  <si>
    <t>Rutigliano</t>
  </si>
  <si>
    <t>Ruvo di Puglia</t>
  </si>
  <si>
    <t>Sammichele di Bari</t>
  </si>
  <si>
    <t>Sannicandro di Bari</t>
  </si>
  <si>
    <t>Santeramo in Colle</t>
  </si>
  <si>
    <t>Terlizzi</t>
  </si>
  <si>
    <t>Toritto</t>
  </si>
  <si>
    <t>Triggiano</t>
  </si>
  <si>
    <t>Turi</t>
  </si>
  <si>
    <t>Valenzano</t>
  </si>
  <si>
    <t>Taranto</t>
  </si>
  <si>
    <t>Avetrana</t>
  </si>
  <si>
    <t>Carosino</t>
  </si>
  <si>
    <t>Castellaneta</t>
  </si>
  <si>
    <t>Crispiano</t>
  </si>
  <si>
    <t>Faggiano</t>
  </si>
  <si>
    <t>Fragagnano</t>
  </si>
  <si>
    <t>Ginosa</t>
  </si>
  <si>
    <t>Grottaglie</t>
  </si>
  <si>
    <t>Laterza</t>
  </si>
  <si>
    <t>Leporano</t>
  </si>
  <si>
    <t>Lizzano</t>
  </si>
  <si>
    <t>Manduria</t>
  </si>
  <si>
    <t>Martina Franca</t>
  </si>
  <si>
    <t>Maruggio</t>
  </si>
  <si>
    <t>Massafra</t>
  </si>
  <si>
    <t>Monteiasi</t>
  </si>
  <si>
    <t>Montemesola</t>
  </si>
  <si>
    <t>Monteparano</t>
  </si>
  <si>
    <t>Mottola</t>
  </si>
  <si>
    <t>Palagianello</t>
  </si>
  <si>
    <t>Palagiano</t>
  </si>
  <si>
    <t>Pulsano</t>
  </si>
  <si>
    <t>Roccaforzata</t>
  </si>
  <si>
    <t>San Giorgio Ionico</t>
  </si>
  <si>
    <t>San Marzano di San Giuseppe</t>
  </si>
  <si>
    <t>Sava</t>
  </si>
  <si>
    <t>Statte</t>
  </si>
  <si>
    <t>Torricella</t>
  </si>
  <si>
    <t>Brindisi</t>
  </si>
  <si>
    <t>Carovigno</t>
  </si>
  <si>
    <t>Ceglie Messapica</t>
  </si>
  <si>
    <t>Cellino San Marco</t>
  </si>
  <si>
    <t>Cisternino</t>
  </si>
  <si>
    <t>Erchie</t>
  </si>
  <si>
    <t>Fasano</t>
  </si>
  <si>
    <t>Francavilla Fontana</t>
  </si>
  <si>
    <t>Latiano</t>
  </si>
  <si>
    <t>Mesagne</t>
  </si>
  <si>
    <t>Oria</t>
  </si>
  <si>
    <t>Ostuni</t>
  </si>
  <si>
    <t>San Donaci</t>
  </si>
  <si>
    <t>San Michele Salentino</t>
  </si>
  <si>
    <t>San Pancrazio Salentino</t>
  </si>
  <si>
    <t>San Pietro Vernotico</t>
  </si>
  <si>
    <t>San Vito dei Normanni</t>
  </si>
  <si>
    <t>Torchiarolo</t>
  </si>
  <si>
    <t>Torre Santa Susanna</t>
  </si>
  <si>
    <t>Villa Castelli</t>
  </si>
  <si>
    <t>Lecce</t>
  </si>
  <si>
    <t>Alessano</t>
  </si>
  <si>
    <t>Alezio</t>
  </si>
  <si>
    <t>Alliste</t>
  </si>
  <si>
    <t>Andrano</t>
  </si>
  <si>
    <t>Aradeo</t>
  </si>
  <si>
    <t>Arnesano</t>
  </si>
  <si>
    <t>Bagnolo del Salento</t>
  </si>
  <si>
    <t>Botrugno</t>
  </si>
  <si>
    <t>Calimera</t>
  </si>
  <si>
    <t>Campi Salentina</t>
  </si>
  <si>
    <t>Cannole</t>
  </si>
  <si>
    <t>Caprarica di Lecce</t>
  </si>
  <si>
    <t>Carmiano</t>
  </si>
  <si>
    <t>Carpignano Salentino</t>
  </si>
  <si>
    <t>Casarano</t>
  </si>
  <si>
    <t>Castri di Lecce</t>
  </si>
  <si>
    <t>Castrignano de' Greci</t>
  </si>
  <si>
    <t>Castrignano del Capo</t>
  </si>
  <si>
    <t>Castro</t>
  </si>
  <si>
    <t>Cavallino</t>
  </si>
  <si>
    <t>Collepasso</t>
  </si>
  <si>
    <t>Copertino</t>
  </si>
  <si>
    <t>Corigliano d'Otranto</t>
  </si>
  <si>
    <t>Corsano</t>
  </si>
  <si>
    <t>Cursi</t>
  </si>
  <si>
    <t>Cutrofiano</t>
  </si>
  <si>
    <t>Diso</t>
  </si>
  <si>
    <t>Gagliano del Capo</t>
  </si>
  <si>
    <t>Galatina</t>
  </si>
  <si>
    <t>Galatone</t>
  </si>
  <si>
    <t>Gallipoli</t>
  </si>
  <si>
    <t>Giuggianello</t>
  </si>
  <si>
    <t>Giurdignano</t>
  </si>
  <si>
    <t>Guagnano</t>
  </si>
  <si>
    <t>Lequile</t>
  </si>
  <si>
    <t>Leverano</t>
  </si>
  <si>
    <t>Lizzanello</t>
  </si>
  <si>
    <t>Maglie</t>
  </si>
  <si>
    <t>Martano</t>
  </si>
  <si>
    <t>Martignano</t>
  </si>
  <si>
    <t>Matino</t>
  </si>
  <si>
    <t>Melendugno</t>
  </si>
  <si>
    <t>Melissano</t>
  </si>
  <si>
    <t>Melpignano</t>
  </si>
  <si>
    <t>Miggiano</t>
  </si>
  <si>
    <t>Minervino di Lecce</t>
  </si>
  <si>
    <t>Monteroni di Lecce</t>
  </si>
  <si>
    <t>Montesano Salentino</t>
  </si>
  <si>
    <t>Morciano di Leuca</t>
  </si>
  <si>
    <t>Muro Leccese</t>
  </si>
  <si>
    <t>Nardò</t>
  </si>
  <si>
    <t>Neviano</t>
  </si>
  <si>
    <t>Nociglia</t>
  </si>
  <si>
    <t>Novoli</t>
  </si>
  <si>
    <t>Ortelle</t>
  </si>
  <si>
    <t>Otranto</t>
  </si>
  <si>
    <t>Palmariggi</t>
  </si>
  <si>
    <t>Parabita</t>
  </si>
  <si>
    <t>Patù</t>
  </si>
  <si>
    <t>Poggiardo</t>
  </si>
  <si>
    <t>Porto Cesareo</t>
  </si>
  <si>
    <t>Presicce-Acquarica</t>
  </si>
  <si>
    <t>Racale</t>
  </si>
  <si>
    <t>Ruffano</t>
  </si>
  <si>
    <t>Salice Salentino</t>
  </si>
  <si>
    <t>Salve</t>
  </si>
  <si>
    <t>San Cassiano</t>
  </si>
  <si>
    <t>San Cesario di Lecce</t>
  </si>
  <si>
    <t>San Donato di Lecce</t>
  </si>
  <si>
    <t>San Pietro in Lama</t>
  </si>
  <si>
    <t>Sanarica</t>
  </si>
  <si>
    <t>Sannicola</t>
  </si>
  <si>
    <t>Santa Cesarea Terme</t>
  </si>
  <si>
    <t>Scorrano</t>
  </si>
  <si>
    <t>Seclì</t>
  </si>
  <si>
    <t>Sogliano Cavour</t>
  </si>
  <si>
    <t>Soleto</t>
  </si>
  <si>
    <t>Specchia</t>
  </si>
  <si>
    <t>Spongano</t>
  </si>
  <si>
    <t>Squinzano</t>
  </si>
  <si>
    <t>Sternatia</t>
  </si>
  <si>
    <t>Supersano</t>
  </si>
  <si>
    <t>Surano</t>
  </si>
  <si>
    <t>Surbo</t>
  </si>
  <si>
    <t>Taurisano</t>
  </si>
  <si>
    <t>Taviano</t>
  </si>
  <si>
    <t>Tiggiano</t>
  </si>
  <si>
    <t>Trepuzzi</t>
  </si>
  <si>
    <t>Tricase</t>
  </si>
  <si>
    <t>Tuglie</t>
  </si>
  <si>
    <t>Ugento</t>
  </si>
  <si>
    <t>Uggiano la Chiesa</t>
  </si>
  <si>
    <t>Veglie</t>
  </si>
  <si>
    <t>Vernole</t>
  </si>
  <si>
    <t>Zollino</t>
  </si>
  <si>
    <t>Andria</t>
  </si>
  <si>
    <t>Barletta</t>
  </si>
  <si>
    <t>Bisceglie</t>
  </si>
  <si>
    <t>Canosa di Puglia</t>
  </si>
  <si>
    <t>Margherita di Savoia</t>
  </si>
  <si>
    <t>Minervino Murge</t>
  </si>
  <si>
    <t>San Ferdinando di Puglia</t>
  </si>
  <si>
    <t>Spinazzola</t>
  </si>
  <si>
    <t>Trani</t>
  </si>
  <si>
    <t>Trinitapoli</t>
  </si>
  <si>
    <t>NARDÒ</t>
  </si>
  <si>
    <t>CASTRIGNANO DE' GRECI</t>
  </si>
  <si>
    <t>Provincia Foggia</t>
  </si>
  <si>
    <t>Provincia Bari</t>
  </si>
  <si>
    <t>Provincia Brindisi</t>
  </si>
  <si>
    <t>Provincia Lecce</t>
  </si>
  <si>
    <t>Provincia Barletta-Andria-Trani</t>
  </si>
  <si>
    <t>Provincia Taranto</t>
  </si>
  <si>
    <t>Ipotesi ingresso 2025</t>
  </si>
  <si>
    <t>Ipotesi ingrasso 2026</t>
  </si>
  <si>
    <t>Ipotesi (valori monetari in Euro)</t>
  </si>
  <si>
    <t>8.1 - Dividendi da distribuzione utili da Acquedotto Pugliese S.p.A.</t>
  </si>
  <si>
    <t>Conto economico (valori in Euro)</t>
  </si>
  <si>
    <t>Stato patrimoniale (valori in Euro)</t>
  </si>
  <si>
    <t>tassazione sui dividendi</t>
  </si>
  <si>
    <t>tassazione sui proventi finanziari</t>
  </si>
  <si>
    <t>Tassazione sui dividendi</t>
  </si>
  <si>
    <t>Tassazione sui proventi finanziari</t>
  </si>
  <si>
    <t>Numero Comuni</t>
  </si>
  <si>
    <t>Cumulato abitanti</t>
  </si>
  <si>
    <t>Range abitanti Comuni Puglia</t>
  </si>
  <si>
    <t>Legenda</t>
  </si>
  <si>
    <t>Periodo ingresso</t>
  </si>
  <si>
    <t>Abitanti oltre 70.000</t>
  </si>
  <si>
    <t>3° trimestre 2025</t>
  </si>
  <si>
    <t>4° trimestre 2025</t>
  </si>
  <si>
    <t>1° trimestre 2026</t>
  </si>
  <si>
    <t>2° trimestre 2026</t>
  </si>
  <si>
    <t>Abitanti 5.001 - 10.000</t>
  </si>
  <si>
    <t>3° trimestre 2026</t>
  </si>
  <si>
    <t>Abitanti 0 - 5.000</t>
  </si>
  <si>
    <t>4° trimestre 2026</t>
  </si>
  <si>
    <t>Comuni che hanno già aderito</t>
  </si>
  <si>
    <t>Comuni in dissesto o riequilibrio</t>
  </si>
  <si>
    <t>TOTALI</t>
  </si>
  <si>
    <t>N.prog</t>
  </si>
  <si>
    <t>Costi operativi (valori in Euro)</t>
  </si>
  <si>
    <t>CCNL per il settore GAS - ACQUA - 30 settembre 2022</t>
  </si>
  <si>
    <r>
      <t xml:space="preserve">Cash flow </t>
    </r>
    <r>
      <rPr>
        <b/>
        <sz val="9"/>
        <rFont val="Comic Sans MS"/>
        <family val="4"/>
      </rPr>
      <t>(valori in Euro)</t>
    </r>
  </si>
  <si>
    <t xml:space="preserve"> - Dividendi da distribuzione utili da Acquedotto Pugliese S.p.A.</t>
  </si>
  <si>
    <t>Hp Contributo RP per acquisto azioni - anno 1</t>
  </si>
  <si>
    <t>Hp Contributo RP per acquisto azioni - anno 2</t>
  </si>
  <si>
    <t>Contributi straordinari dalla Regione ex art. 241 L.R. Puglia n. 42 del 31-12-2024 recante modifiche alla L.R. 14/2024</t>
  </si>
  <si>
    <t>Capitale sociale versato</t>
  </si>
  <si>
    <t>Capitale sociale per alienazione da Regione Puglia delle partecipazioni sociali di Acquedotto Pugliese s.p.a. ai comuni pugliesi</t>
  </si>
  <si>
    <t>Totale Capitale sociale</t>
  </si>
  <si>
    <t>1.1.1. Contributi straordinari dalla Regione ex art. 241 L.R. Puglia n. 42 del 31-12-2024 recante modifiche alla L.R. 14/2024</t>
  </si>
  <si>
    <t>Partecipazioni azionarie:</t>
  </si>
  <si>
    <t>Abitanti 27.001 - 71.000</t>
  </si>
  <si>
    <t>Abitanti 10.001 - 20.000</t>
  </si>
  <si>
    <t>Abitanti 20.001 - 27.000</t>
  </si>
  <si>
    <t>Presidente C.d.A.</t>
  </si>
  <si>
    <t>Consigliere C.d.A._1</t>
  </si>
  <si>
    <t>Consigliere C.d.A._2</t>
  </si>
  <si>
    <t>Consigliere C.d.A._3</t>
  </si>
  <si>
    <t>Consigliere C.d.A._4</t>
  </si>
  <si>
    <t>Imm.ni Immateriali</t>
  </si>
  <si>
    <t>Immobilizzazioni Materiali</t>
  </si>
  <si>
    <t>Immobilizzazioni Immateriali</t>
  </si>
  <si>
    <t>Costi di Start Up</t>
  </si>
  <si>
    <t>DG</t>
  </si>
  <si>
    <t>Direttore Generale</t>
  </si>
  <si>
    <t>2.2 - Aggiornamento e manutenzione Sistema Informativo</t>
  </si>
  <si>
    <t>Altro Responsabile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</si>
</sst>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€&quot;\ #,##0.00;[Red]\-&quot;€&quot;\ #,##0.00"/>
    <numFmt numFmtId="165" formatCode="_-&quot;€&quot;\ * #,##0.00_-;\-&quot;€&quot;\ * #,##0.00_-;_-&quot;€&quot;\ * &quot;-&quot;??_-;_-@_-"/>
    <numFmt numFmtId="166" formatCode="&quot;L.&quot;\ #,##0;[Red]\-&quot;L.&quot;\ #,##0"/>
    <numFmt numFmtId="167" formatCode="_-&quot;L.&quot;\ * #,##0_-;\-&quot;L.&quot;\ * #,##0_-;_-&quot;L.&quot;\ * &quot;-&quot;_-;_-@_-"/>
    <numFmt numFmtId="168" formatCode="_(&quot;$&quot;* #,##0_);_(&quot;$&quot;* \(#,##0\);_(&quot;$&quot;* &quot;-&quot;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0.0%"/>
    <numFmt numFmtId="173" formatCode="_(&quot;L.&quot;* #,##0.00_);_(&quot;L.&quot;* \(#,##0.00\);_(&quot;L.&quot;* &quot;-&quot;??_);_(@_)"/>
    <numFmt numFmtId="174" formatCode="#,##0.000000000"/>
    <numFmt numFmtId="175" formatCode="#,##0.00\ ;\(#,##0.00\)"/>
    <numFmt numFmtId="176" formatCode="0.0"/>
    <numFmt numFmtId="177" formatCode="#,##0\ ;\(#,##0\)"/>
    <numFmt numFmtId="178" formatCode="#,##0.000000\ ;\(#,##0.000000\)"/>
    <numFmt numFmtId="179" formatCode="#,##0.0000000\ ;\(#,##0.0000000\)"/>
    <numFmt numFmtId="180" formatCode="#,##0.0\ ;\(#,##0.0\)"/>
    <numFmt numFmtId="181" formatCode="#,##0.00\ ;[Red]\(#,##0.00\)"/>
    <numFmt numFmtId="182" formatCode="#,##0.0"/>
    <numFmt numFmtId="183" formatCode="0.000"/>
    <numFmt numFmtId="184" formatCode="_-* #,##0_-;\-* #,##0_-;_-* &quot;-&quot;??_-;_-@_-"/>
    <numFmt numFmtId="185" formatCode="#,##0.000\ ;\(#,##0.000\)"/>
    <numFmt numFmtId="186" formatCode="#,##0.000"/>
    <numFmt numFmtId="187" formatCode="0.0000"/>
    <numFmt numFmtId="188" formatCode="0.000%"/>
    <numFmt numFmtId="189" formatCode="_-* #,##0.00\ _€_-;\-* #,##0.00\ _€_-;_-* &quot;-&quot;??\ _€_-;_-@_-"/>
    <numFmt numFmtId="190" formatCode="#,##0.00\ &quot;€&quot;"/>
    <numFmt numFmtId="191" formatCode="_-* #,##0.000\ &quot;€&quot;_-;\-* #,##0.000\ &quot;€&quot;_-;_-* &quot;-&quot;???\ &quot;€&quot;_-;_-@_-"/>
    <numFmt numFmtId="192" formatCode="_-* #,##0.00\ &quot;€&quot;_-;\-* #,##0.00\ &quot;€&quot;_-;_-* &quot;-&quot;???\ &quot;€&quot;_-;_-@_-"/>
  </numFmts>
  <fonts count="52">
    <font>
      <sz val="10"/>
      <name val="Arial"/>
    </font>
    <font>
      <sz val="10"/>
      <name val="Arial"/>
      <family val="2"/>
    </font>
    <font>
      <sz val="10"/>
      <name val="Helv"/>
      <charset val="204"/>
    </font>
    <font>
      <u/>
      <sz val="6"/>
      <color indexed="12"/>
      <name val="Arial MT"/>
    </font>
    <font>
      <sz val="10"/>
      <name val="Bookman Old Style"/>
      <family val="1"/>
    </font>
    <font>
      <sz val="10"/>
      <name val="MS Sans Serif"/>
    </font>
    <font>
      <sz val="10"/>
      <name val="Courier"/>
      <family val="3"/>
    </font>
    <font>
      <sz val="9"/>
      <name val="Bookman Old Style"/>
      <family val="1"/>
    </font>
    <font>
      <b/>
      <sz val="9"/>
      <name val="Comic Sans MS"/>
      <family val="4"/>
    </font>
    <font>
      <sz val="9"/>
      <name val="Comic Sans MS"/>
      <family val="4"/>
    </font>
    <font>
      <i/>
      <sz val="9"/>
      <name val="Comic Sans MS"/>
      <family val="4"/>
    </font>
    <font>
      <b/>
      <i/>
      <sz val="9"/>
      <name val="Comic Sans MS"/>
      <family val="4"/>
    </font>
    <font>
      <sz val="10"/>
      <name val="Comic Sans MS"/>
      <family val="4"/>
    </font>
    <font>
      <sz val="10"/>
      <color indexed="12"/>
      <name val="Comic Sans MS"/>
      <family val="4"/>
    </font>
    <font>
      <vertAlign val="subscript"/>
      <sz val="9"/>
      <name val="Comic Sans MS"/>
      <family val="4"/>
    </font>
    <font>
      <b/>
      <i/>
      <sz val="15"/>
      <name val="Comic Sans MS"/>
      <family val="4"/>
    </font>
    <font>
      <b/>
      <i/>
      <sz val="11"/>
      <name val="Comic Sans MS"/>
      <family val="4"/>
    </font>
    <font>
      <sz val="11"/>
      <name val="Comic Sans MS"/>
      <family val="4"/>
    </font>
    <font>
      <sz val="8"/>
      <name val="Arial"/>
      <family val="2"/>
    </font>
    <font>
      <b/>
      <sz val="10"/>
      <name val="Comic Sans MS"/>
      <family val="4"/>
    </font>
    <font>
      <b/>
      <sz val="12"/>
      <name val="Comic Sans MS"/>
      <family val="4"/>
    </font>
    <font>
      <sz val="12"/>
      <name val="Comic Sans MS"/>
      <family val="4"/>
    </font>
    <font>
      <i/>
      <u/>
      <sz val="10"/>
      <name val="Comic Sans MS"/>
      <family val="4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i/>
      <sz val="8"/>
      <name val="Comic Sans MS"/>
      <family val="4"/>
    </font>
    <font>
      <i/>
      <u/>
      <sz val="9"/>
      <name val="Comic Sans MS"/>
      <family val="4"/>
    </font>
    <font>
      <sz val="10"/>
      <color rgb="FF404040"/>
      <name val="Arial"/>
      <family val="2"/>
    </font>
    <font>
      <sz val="7"/>
      <color rgb="FFFFFFFF"/>
      <name val="Calibri"/>
      <family val="2"/>
    </font>
    <font>
      <b/>
      <sz val="8"/>
      <color rgb="FF505050"/>
      <name val="Arial"/>
      <family val="2"/>
    </font>
    <font>
      <b/>
      <sz val="11"/>
      <color rgb="FF212529"/>
      <name val="Karla"/>
    </font>
    <font>
      <sz val="11"/>
      <color rgb="FF212529"/>
      <name val="Karla"/>
    </font>
    <font>
      <sz val="10"/>
      <color rgb="FF212529"/>
      <name val="Karla"/>
    </font>
    <font>
      <sz val="9"/>
      <color rgb="FF212529"/>
      <name val="Karla"/>
    </font>
    <font>
      <sz val="10"/>
      <color rgb="FFFFFFFF"/>
      <name val="Calibri"/>
      <family val="2"/>
    </font>
    <font>
      <sz val="10"/>
      <color rgb="FF000000"/>
      <name val="Calibri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49FE0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F85F2"/>
        <bgColor indexed="64"/>
      </patternFill>
    </fill>
    <fill>
      <patternFill patternType="solid">
        <fgColor rgb="FF33FB5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8B591"/>
      </left>
      <right style="thin">
        <color rgb="FFF8B591"/>
      </right>
      <top style="thin">
        <color rgb="FFF8B591"/>
      </top>
      <bottom style="thin">
        <color rgb="FFF8B591"/>
      </bottom>
      <diagonal/>
    </border>
    <border>
      <left style="thin">
        <color rgb="FFF8B591"/>
      </left>
      <right style="thin">
        <color rgb="FFF8B591"/>
      </right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hair">
        <color theme="4" tint="0.39994506668294322"/>
      </top>
      <bottom style="hair">
        <color theme="4" tint="0.39994506668294322"/>
      </bottom>
      <diagonal/>
    </border>
    <border>
      <left style="thin">
        <color rgb="FFF8B591"/>
      </left>
      <right style="thin">
        <color rgb="FFF8B591"/>
      </right>
      <top style="thin">
        <color rgb="FFF8B591"/>
      </top>
      <bottom/>
      <diagonal/>
    </border>
    <border>
      <left/>
      <right/>
      <top style="hair">
        <color rgb="FFF8B591"/>
      </top>
      <bottom style="hair">
        <color rgb="FFF8B591"/>
      </bottom>
      <diagonal/>
    </border>
    <border>
      <left style="medium">
        <color rgb="FFC0C0C0"/>
      </left>
      <right/>
      <top/>
      <bottom/>
      <diagonal/>
    </border>
    <border>
      <left/>
      <right/>
      <top/>
      <bottom style="hair">
        <color rgb="FF00B0F0"/>
      </bottom>
      <diagonal/>
    </border>
    <border>
      <left/>
      <right/>
      <top style="hair">
        <color rgb="FF00B0F0"/>
      </top>
      <bottom style="hair">
        <color rgb="FF00B0F0"/>
      </bottom>
      <diagonal/>
    </border>
    <border>
      <left style="thin">
        <color rgb="FFF8B591"/>
      </left>
      <right/>
      <top style="thin">
        <color rgb="FFF8B591"/>
      </top>
      <bottom style="thin">
        <color rgb="FFF8B591"/>
      </bottom>
      <diagonal/>
    </border>
    <border>
      <left/>
      <right/>
      <top style="thin">
        <color rgb="FFF8B591"/>
      </top>
      <bottom style="thin">
        <color rgb="FFF8B591"/>
      </bottom>
      <diagonal/>
    </border>
    <border>
      <left/>
      <right style="thin">
        <color rgb="FFF8B591"/>
      </right>
      <top style="thin">
        <color rgb="FFF8B591"/>
      </top>
      <bottom style="thin">
        <color rgb="FFF8B591"/>
      </bottom>
      <diagonal/>
    </border>
  </borders>
  <cellStyleXfs count="26">
    <xf numFmtId="0" fontId="0" fillId="0" borderId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2" fillId="0" borderId="0"/>
    <xf numFmtId="0" fontId="4" fillId="0" borderId="0"/>
    <xf numFmtId="9" fontId="1" fillId="0" borderId="0" applyFont="0" applyFill="0" applyBorder="0" applyAlignment="0" applyProtection="0"/>
    <xf numFmtId="0" fontId="1" fillId="4" borderId="0"/>
    <xf numFmtId="0" fontId="2" fillId="0" borderId="0"/>
    <xf numFmtId="166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51" fillId="0" borderId="0" applyFont="0" applyFill="0" applyBorder="0" applyAlignment="0" applyProtection="0"/>
  </cellStyleXfs>
  <cellXfs count="533">
    <xf numFmtId="0" fontId="0" fillId="0" borderId="0" xfId="0"/>
    <xf numFmtId="1" fontId="8" fillId="0" borderId="0" xfId="0" quotePrefix="1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16" applyFont="1" applyAlignment="1">
      <alignment vertical="center"/>
    </xf>
    <xf numFmtId="0" fontId="8" fillId="0" borderId="0" xfId="16" applyFont="1" applyAlignment="1">
      <alignment vertical="center"/>
    </xf>
    <xf numFmtId="0" fontId="8" fillId="0" borderId="0" xfId="16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16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77" fontId="8" fillId="0" borderId="0" xfId="0" applyNumberFormat="1" applyFont="1" applyAlignment="1">
      <alignment vertical="center" wrapText="1"/>
    </xf>
    <xf numFmtId="177" fontId="9" fillId="0" borderId="0" xfId="0" applyNumberFormat="1" applyFont="1" applyAlignment="1">
      <alignment vertical="center" wrapText="1"/>
    </xf>
    <xf numFmtId="175" fontId="8" fillId="0" borderId="0" xfId="0" applyNumberFormat="1" applyFont="1" applyAlignment="1">
      <alignment vertical="center" wrapText="1"/>
    </xf>
    <xf numFmtId="177" fontId="9" fillId="0" borderId="0" xfId="0" applyNumberFormat="1" applyFont="1" applyAlignment="1">
      <alignment vertical="center"/>
    </xf>
    <xf numFmtId="177" fontId="9" fillId="0" borderId="0" xfId="9" applyNumberFormat="1" applyFont="1" applyFill="1" applyAlignment="1">
      <alignment vertical="center"/>
    </xf>
    <xf numFmtId="175" fontId="9" fillId="0" borderId="0" xfId="0" applyNumberFormat="1" applyFont="1" applyAlignment="1">
      <alignment vertical="center"/>
    </xf>
    <xf numFmtId="178" fontId="9" fillId="0" borderId="0" xfId="0" applyNumberFormat="1" applyFont="1" applyAlignment="1">
      <alignment vertical="center"/>
    </xf>
    <xf numFmtId="0" fontId="8" fillId="0" borderId="0" xfId="16" applyFont="1" applyAlignment="1">
      <alignment horizontal="left" vertical="center"/>
    </xf>
    <xf numFmtId="3" fontId="9" fillId="0" borderId="0" xfId="16" applyNumberFormat="1" applyFont="1" applyAlignment="1">
      <alignment vertical="center"/>
    </xf>
    <xf numFmtId="177" fontId="9" fillId="0" borderId="0" xfId="16" applyNumberFormat="1" applyFont="1" applyAlignment="1">
      <alignment vertical="center"/>
    </xf>
    <xf numFmtId="177" fontId="8" fillId="0" borderId="0" xfId="16" applyNumberFormat="1" applyFont="1" applyAlignment="1">
      <alignment vertical="center"/>
    </xf>
    <xf numFmtId="177" fontId="9" fillId="0" borderId="0" xfId="11" applyNumberFormat="1" applyFont="1" applyFill="1" applyBorder="1" applyAlignment="1">
      <alignment vertical="center"/>
    </xf>
    <xf numFmtId="177" fontId="9" fillId="0" borderId="0" xfId="16" applyNumberFormat="1" applyFont="1" applyAlignment="1">
      <alignment horizontal="right" vertical="center"/>
    </xf>
    <xf numFmtId="174" fontId="9" fillId="0" borderId="0" xfId="16" applyNumberFormat="1" applyFont="1" applyAlignment="1">
      <alignment vertical="center"/>
    </xf>
    <xf numFmtId="179" fontId="9" fillId="0" borderId="0" xfId="16" applyNumberFormat="1" applyFont="1" applyAlignment="1">
      <alignment vertical="center"/>
    </xf>
    <xf numFmtId="178" fontId="9" fillId="0" borderId="0" xfId="16" applyNumberFormat="1" applyFont="1" applyAlignment="1">
      <alignment vertical="center"/>
    </xf>
    <xf numFmtId="4" fontId="9" fillId="0" borderId="0" xfId="16" applyNumberFormat="1" applyFont="1" applyAlignment="1">
      <alignment vertical="center"/>
    </xf>
    <xf numFmtId="10" fontId="9" fillId="0" borderId="0" xfId="16" applyNumberFormat="1" applyFont="1" applyAlignment="1">
      <alignment horizontal="left" vertical="center"/>
    </xf>
    <xf numFmtId="0" fontId="8" fillId="0" borderId="0" xfId="0" applyFont="1" applyAlignment="1">
      <alignment horizontal="justify" vertical="center" wrapText="1"/>
    </xf>
    <xf numFmtId="177" fontId="8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43" fontId="9" fillId="0" borderId="0" xfId="9" applyFont="1" applyFill="1" applyBorder="1" applyAlignment="1">
      <alignment vertical="center"/>
    </xf>
    <xf numFmtId="0" fontId="9" fillId="0" borderId="0" xfId="0" applyFont="1"/>
    <xf numFmtId="43" fontId="9" fillId="0" borderId="0" xfId="0" applyNumberFormat="1" applyFont="1"/>
    <xf numFmtId="9" fontId="9" fillId="0" borderId="0" xfId="0" applyNumberFormat="1" applyFont="1"/>
    <xf numFmtId="172" fontId="9" fillId="0" borderId="0" xfId="0" applyNumberFormat="1" applyFont="1"/>
    <xf numFmtId="181" fontId="9" fillId="0" borderId="0" xfId="9" applyNumberFormat="1" applyFont="1" applyBorder="1"/>
    <xf numFmtId="181" fontId="9" fillId="0" borderId="0" xfId="0" applyNumberFormat="1" applyFont="1"/>
    <xf numFmtId="2" fontId="9" fillId="0" borderId="0" xfId="0" applyNumberFormat="1" applyFont="1" applyAlignment="1">
      <alignment vertical="center" wrapText="1"/>
    </xf>
    <xf numFmtId="0" fontId="9" fillId="0" borderId="0" xfId="0" applyFont="1" applyAlignment="1">
      <alignment horizontal="right" vertical="center"/>
    </xf>
    <xf numFmtId="172" fontId="9" fillId="0" borderId="0" xfId="17" applyNumberFormat="1" applyFont="1" applyAlignment="1">
      <alignment vertical="center"/>
    </xf>
    <xf numFmtId="2" fontId="9" fillId="0" borderId="0" xfId="17" applyNumberFormat="1" applyFont="1" applyAlignment="1">
      <alignment vertical="center"/>
    </xf>
    <xf numFmtId="10" fontId="9" fillId="0" borderId="0" xfId="17" applyNumberFormat="1" applyFont="1" applyAlignment="1">
      <alignment vertical="center"/>
    </xf>
    <xf numFmtId="177" fontId="9" fillId="0" borderId="0" xfId="11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9" fontId="12" fillId="0" borderId="1" xfId="14" applyNumberFormat="1" applyFont="1" applyBorder="1" applyAlignment="1">
      <alignment horizontal="center" vertical="center" wrapText="1"/>
    </xf>
    <xf numFmtId="4" fontId="12" fillId="0" borderId="2" xfId="14" applyNumberFormat="1" applyFont="1" applyBorder="1" applyAlignment="1">
      <alignment horizontal="center" vertical="center" wrapText="1"/>
    </xf>
    <xf numFmtId="1" fontId="9" fillId="0" borderId="1" xfId="0" quotePrefix="1" applyNumberFormat="1" applyFont="1" applyBorder="1" applyAlignment="1">
      <alignment horizontal="center" vertical="center" wrapText="1"/>
    </xf>
    <xf numFmtId="4" fontId="12" fillId="0" borderId="3" xfId="21" applyNumberFormat="1" applyFont="1" applyFill="1" applyBorder="1" applyAlignment="1">
      <alignment vertical="center"/>
    </xf>
    <xf numFmtId="1" fontId="9" fillId="0" borderId="0" xfId="0" quotePrefix="1" applyNumberFormat="1" applyFont="1" applyAlignment="1">
      <alignment horizontal="center" vertical="center" wrapText="1"/>
    </xf>
    <xf numFmtId="4" fontId="13" fillId="0" borderId="4" xfId="21" applyNumberFormat="1" applyFont="1" applyFill="1" applyBorder="1" applyAlignment="1">
      <alignment vertical="center"/>
    </xf>
    <xf numFmtId="4" fontId="12" fillId="0" borderId="4" xfId="21" applyNumberFormat="1" applyFont="1" applyFill="1" applyBorder="1" applyAlignment="1">
      <alignment vertical="center"/>
    </xf>
    <xf numFmtId="4" fontId="13" fillId="0" borderId="5" xfId="21" applyNumberFormat="1" applyFont="1" applyFill="1" applyBorder="1" applyAlignment="1">
      <alignment vertical="center"/>
    </xf>
    <xf numFmtId="4" fontId="12" fillId="0" borderId="5" xfId="21" applyNumberFormat="1" applyFont="1" applyFill="1" applyBorder="1" applyAlignment="1">
      <alignment vertical="center"/>
    </xf>
    <xf numFmtId="4" fontId="12" fillId="0" borderId="0" xfId="21" applyNumberFormat="1" applyFont="1" applyFill="1" applyBorder="1" applyAlignment="1">
      <alignment vertical="center"/>
    </xf>
    <xf numFmtId="0" fontId="12" fillId="0" borderId="0" xfId="14" applyFont="1" applyAlignment="1">
      <alignment vertical="center"/>
    </xf>
    <xf numFmtId="1" fontId="12" fillId="0" borderId="0" xfId="14" applyNumberFormat="1" applyFont="1" applyAlignment="1">
      <alignment vertical="center"/>
    </xf>
    <xf numFmtId="9" fontId="12" fillId="0" borderId="0" xfId="14" applyNumberFormat="1" applyFont="1" applyAlignment="1">
      <alignment horizontal="center" vertical="center"/>
    </xf>
    <xf numFmtId="4" fontId="12" fillId="0" borderId="0" xfId="14" applyNumberFormat="1" applyFont="1" applyAlignment="1">
      <alignment horizontal="center" vertical="center"/>
    </xf>
    <xf numFmtId="4" fontId="12" fillId="0" borderId="0" xfId="14" applyNumberFormat="1" applyFont="1" applyAlignment="1">
      <alignment vertical="center"/>
    </xf>
    <xf numFmtId="4" fontId="13" fillId="0" borderId="0" xfId="14" applyNumberFormat="1" applyFont="1" applyAlignment="1">
      <alignment vertical="center"/>
    </xf>
    <xf numFmtId="17" fontId="13" fillId="0" borderId="0" xfId="14" applyNumberFormat="1" applyFont="1" applyAlignment="1">
      <alignment vertical="center"/>
    </xf>
    <xf numFmtId="4" fontId="12" fillId="0" borderId="0" xfId="15" applyNumberFormat="1" applyFont="1" applyAlignment="1">
      <alignment vertical="center"/>
    </xf>
    <xf numFmtId="0" fontId="12" fillId="0" borderId="0" xfId="15" applyFont="1" applyAlignment="1">
      <alignment vertical="center"/>
    </xf>
    <xf numFmtId="1" fontId="12" fillId="0" borderId="5" xfId="14" applyNumberFormat="1" applyFont="1" applyBorder="1" applyAlignment="1">
      <alignment vertical="center"/>
    </xf>
    <xf numFmtId="0" fontId="12" fillId="0" borderId="1" xfId="15" applyFont="1" applyBorder="1" applyAlignment="1">
      <alignment vertical="center"/>
    </xf>
    <xf numFmtId="0" fontId="12" fillId="0" borderId="6" xfId="14" applyFont="1" applyBorder="1" applyAlignment="1">
      <alignment vertical="center"/>
    </xf>
    <xf numFmtId="0" fontId="12" fillId="0" borderId="1" xfId="14" applyFont="1" applyBorder="1" applyAlignment="1">
      <alignment vertical="center"/>
    </xf>
    <xf numFmtId="9" fontId="12" fillId="0" borderId="1" xfId="17" applyFont="1" applyBorder="1" applyAlignment="1">
      <alignment horizontal="center" vertical="center"/>
    </xf>
    <xf numFmtId="4" fontId="12" fillId="0" borderId="7" xfId="14" applyNumberFormat="1" applyFont="1" applyBorder="1" applyAlignment="1">
      <alignment horizontal="center" vertical="center"/>
    </xf>
    <xf numFmtId="4" fontId="13" fillId="0" borderId="2" xfId="14" applyNumberFormat="1" applyFont="1" applyBorder="1" applyAlignment="1">
      <alignment vertical="center"/>
    </xf>
    <xf numFmtId="4" fontId="13" fillId="0" borderId="8" xfId="14" applyNumberFormat="1" applyFont="1" applyBorder="1" applyAlignment="1">
      <alignment vertical="center"/>
    </xf>
    <xf numFmtId="4" fontId="13" fillId="0" borderId="5" xfId="14" applyNumberFormat="1" applyFont="1" applyBorder="1" applyAlignment="1">
      <alignment vertical="center"/>
    </xf>
    <xf numFmtId="4" fontId="12" fillId="0" borderId="2" xfId="14" applyNumberFormat="1" applyFont="1" applyBorder="1" applyAlignment="1">
      <alignment horizontal="center" vertical="center"/>
    </xf>
    <xf numFmtId="4" fontId="12" fillId="0" borderId="3" xfId="14" applyNumberFormat="1" applyFont="1" applyBorder="1" applyAlignment="1">
      <alignment vertical="center"/>
    </xf>
    <xf numFmtId="4" fontId="12" fillId="0" borderId="6" xfId="14" applyNumberFormat="1" applyFont="1" applyBorder="1" applyAlignment="1">
      <alignment vertical="center"/>
    </xf>
    <xf numFmtId="0" fontId="13" fillId="0" borderId="0" xfId="14" applyFont="1" applyAlignment="1">
      <alignment vertical="center"/>
    </xf>
    <xf numFmtId="9" fontId="12" fillId="5" borderId="0" xfId="17" applyFont="1" applyFill="1" applyAlignment="1">
      <alignment horizontal="center" vertical="center"/>
    </xf>
    <xf numFmtId="4" fontId="13" fillId="0" borderId="7" xfId="14" applyNumberFormat="1" applyFont="1" applyBorder="1" applyAlignment="1">
      <alignment vertical="center"/>
    </xf>
    <xf numFmtId="4" fontId="13" fillId="0" borderId="9" xfId="14" applyNumberFormat="1" applyFont="1" applyBorder="1" applyAlignment="1">
      <alignment vertical="center"/>
    </xf>
    <xf numFmtId="4" fontId="13" fillId="0" borderId="10" xfId="14" applyNumberFormat="1" applyFont="1" applyBorder="1" applyAlignment="1">
      <alignment vertical="center"/>
    </xf>
    <xf numFmtId="4" fontId="13" fillId="0" borderId="3" xfId="14" applyNumberFormat="1" applyFont="1" applyBorder="1" applyAlignment="1">
      <alignment vertical="center"/>
    </xf>
    <xf numFmtId="4" fontId="13" fillId="0" borderId="6" xfId="14" applyNumberFormat="1" applyFont="1" applyBorder="1" applyAlignment="1">
      <alignment vertical="center"/>
    </xf>
    <xf numFmtId="4" fontId="13" fillId="0" borderId="0" xfId="15" applyNumberFormat="1" applyFont="1" applyAlignment="1">
      <alignment vertical="center"/>
    </xf>
    <xf numFmtId="9" fontId="12" fillId="5" borderId="0" xfId="14" applyNumberFormat="1" applyFont="1" applyFill="1" applyAlignment="1">
      <alignment horizontal="center" vertical="center"/>
    </xf>
    <xf numFmtId="4" fontId="12" fillId="0" borderId="11" xfId="14" applyNumberFormat="1" applyFont="1" applyBorder="1" applyAlignment="1">
      <alignment vertical="center"/>
    </xf>
    <xf numFmtId="4" fontId="12" fillId="0" borderId="4" xfId="14" applyNumberFormat="1" applyFont="1" applyBorder="1" applyAlignment="1">
      <alignment vertical="center"/>
    </xf>
    <xf numFmtId="4" fontId="12" fillId="0" borderId="4" xfId="15" applyNumberFormat="1" applyFont="1" applyBorder="1" applyAlignment="1">
      <alignment vertical="center"/>
    </xf>
    <xf numFmtId="0" fontId="12" fillId="0" borderId="4" xfId="15" applyFont="1" applyBorder="1" applyAlignment="1">
      <alignment vertical="center"/>
    </xf>
    <xf numFmtId="0" fontId="12" fillId="0" borderId="4" xfId="14" applyFont="1" applyBorder="1" applyAlignment="1">
      <alignment vertical="center"/>
    </xf>
    <xf numFmtId="4" fontId="12" fillId="0" borderId="12" xfId="14" applyNumberFormat="1" applyFont="1" applyBorder="1" applyAlignment="1">
      <alignment vertical="center"/>
    </xf>
    <xf numFmtId="1" fontId="13" fillId="0" borderId="0" xfId="14" applyNumberFormat="1" applyFont="1" applyAlignment="1">
      <alignment vertical="center"/>
    </xf>
    <xf numFmtId="0" fontId="13" fillId="0" borderId="2" xfId="14" applyFont="1" applyBorder="1" applyAlignment="1">
      <alignment vertical="center"/>
    </xf>
    <xf numFmtId="9" fontId="13" fillId="0" borderId="8" xfId="17" applyFont="1" applyFill="1" applyBorder="1" applyAlignment="1">
      <alignment horizontal="center" vertical="center"/>
    </xf>
    <xf numFmtId="4" fontId="13" fillId="0" borderId="11" xfId="14" applyNumberFormat="1" applyFont="1" applyBorder="1" applyAlignment="1">
      <alignment vertical="center"/>
    </xf>
    <xf numFmtId="4" fontId="13" fillId="0" borderId="13" xfId="14" applyNumberFormat="1" applyFont="1" applyBorder="1" applyAlignment="1">
      <alignment vertical="center"/>
    </xf>
    <xf numFmtId="0" fontId="12" fillId="0" borderId="11" xfId="14" applyFont="1" applyBorder="1" applyAlignment="1">
      <alignment vertical="center"/>
    </xf>
    <xf numFmtId="9" fontId="12" fillId="0" borderId="4" xfId="17" applyFont="1" applyFill="1" applyBorder="1" applyAlignment="1">
      <alignment horizontal="center" vertical="center"/>
    </xf>
    <xf numFmtId="4" fontId="12" fillId="0" borderId="13" xfId="14" applyNumberFormat="1" applyFont="1" applyBorder="1" applyAlignment="1">
      <alignment vertical="center"/>
    </xf>
    <xf numFmtId="4" fontId="13" fillId="0" borderId="1" xfId="14" applyNumberFormat="1" applyFont="1" applyBorder="1" applyAlignment="1">
      <alignment vertical="center"/>
    </xf>
    <xf numFmtId="4" fontId="13" fillId="0" borderId="1" xfId="15" applyNumberFormat="1" applyFont="1" applyBorder="1" applyAlignment="1">
      <alignment vertical="center"/>
    </xf>
    <xf numFmtId="0" fontId="12" fillId="0" borderId="2" xfId="14" applyFont="1" applyBorder="1" applyAlignment="1">
      <alignment vertical="center"/>
    </xf>
    <xf numFmtId="9" fontId="12" fillId="0" borderId="8" xfId="17" applyFont="1" applyFill="1" applyBorder="1" applyAlignment="1">
      <alignment horizontal="center" vertical="center"/>
    </xf>
    <xf numFmtId="4" fontId="12" fillId="0" borderId="1" xfId="14" applyNumberFormat="1" applyFont="1" applyBorder="1" applyAlignment="1">
      <alignment vertical="center"/>
    </xf>
    <xf numFmtId="9" fontId="12" fillId="0" borderId="0" xfId="17" applyFont="1" applyFill="1" applyBorder="1" applyAlignment="1">
      <alignment horizontal="center" vertical="center"/>
    </xf>
    <xf numFmtId="0" fontId="12" fillId="0" borderId="0" xfId="14" applyFont="1" applyAlignment="1">
      <alignment horizontal="center" vertical="center"/>
    </xf>
    <xf numFmtId="9" fontId="13" fillId="0" borderId="8" xfId="14" applyNumberFormat="1" applyFont="1" applyBorder="1" applyAlignment="1">
      <alignment horizontal="center" vertical="center"/>
    </xf>
    <xf numFmtId="4" fontId="13" fillId="0" borderId="8" xfId="14" applyNumberFormat="1" applyFont="1" applyBorder="1" applyAlignment="1">
      <alignment horizontal="center" vertical="center"/>
    </xf>
    <xf numFmtId="9" fontId="12" fillId="0" borderId="4" xfId="14" applyNumberFormat="1" applyFont="1" applyBorder="1" applyAlignment="1">
      <alignment horizontal="center" vertical="center"/>
    </xf>
    <xf numFmtId="4" fontId="12" fillId="0" borderId="4" xfId="14" applyNumberFormat="1" applyFont="1" applyBorder="1" applyAlignment="1">
      <alignment horizontal="center" vertical="center"/>
    </xf>
    <xf numFmtId="4" fontId="13" fillId="0" borderId="5" xfId="14" applyNumberFormat="1" applyFont="1" applyBorder="1" applyAlignment="1">
      <alignment horizontal="center" vertical="center"/>
    </xf>
    <xf numFmtId="9" fontId="12" fillId="0" borderId="8" xfId="14" applyNumberFormat="1" applyFont="1" applyBorder="1" applyAlignment="1">
      <alignment horizontal="center" vertical="center"/>
    </xf>
    <xf numFmtId="4" fontId="12" fillId="0" borderId="5" xfId="14" applyNumberFormat="1" applyFont="1" applyBorder="1" applyAlignment="1">
      <alignment horizontal="center" vertical="center"/>
    </xf>
    <xf numFmtId="4" fontId="12" fillId="0" borderId="1" xfId="14" applyNumberFormat="1" applyFont="1" applyBorder="1" applyAlignment="1">
      <alignment horizontal="center" vertical="center"/>
    </xf>
    <xf numFmtId="4" fontId="12" fillId="0" borderId="8" xfId="14" applyNumberFormat="1" applyFont="1" applyBorder="1" applyAlignment="1">
      <alignment vertical="center"/>
    </xf>
    <xf numFmtId="4" fontId="12" fillId="0" borderId="8" xfId="15" applyNumberFormat="1" applyFont="1" applyBorder="1" applyAlignment="1">
      <alignment vertical="center"/>
    </xf>
    <xf numFmtId="0" fontId="12" fillId="0" borderId="8" xfId="15" applyFont="1" applyBorder="1" applyAlignment="1">
      <alignment vertical="center"/>
    </xf>
    <xf numFmtId="0" fontId="12" fillId="0" borderId="8" xfId="14" applyFont="1" applyBorder="1" applyAlignment="1">
      <alignment vertical="center"/>
    </xf>
    <xf numFmtId="4" fontId="12" fillId="5" borderId="14" xfId="14" applyNumberFormat="1" applyFont="1" applyFill="1" applyBorder="1" applyAlignment="1">
      <alignment vertical="center"/>
    </xf>
    <xf numFmtId="0" fontId="12" fillId="5" borderId="14" xfId="14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0" xfId="16" applyFont="1" applyAlignment="1">
      <alignment horizontal="left" vertical="center" wrapText="1"/>
    </xf>
    <xf numFmtId="172" fontId="9" fillId="0" borderId="0" xfId="17" applyNumberFormat="1" applyFont="1" applyFill="1" applyBorder="1" applyAlignment="1">
      <alignment vertical="center"/>
    </xf>
    <xf numFmtId="172" fontId="9" fillId="0" borderId="0" xfId="16" applyNumberFormat="1" applyFont="1" applyAlignment="1">
      <alignment vertical="center"/>
    </xf>
    <xf numFmtId="172" fontId="9" fillId="6" borderId="0" xfId="17" applyNumberFormat="1" applyFont="1" applyFill="1" applyBorder="1" applyAlignment="1">
      <alignment vertical="center"/>
    </xf>
    <xf numFmtId="1" fontId="9" fillId="0" borderId="0" xfId="0" applyNumberFormat="1" applyFont="1" applyAlignment="1">
      <alignment vertical="center"/>
    </xf>
    <xf numFmtId="176" fontId="9" fillId="0" borderId="0" xfId="16" applyNumberFormat="1" applyFont="1" applyAlignment="1">
      <alignment vertical="center"/>
    </xf>
    <xf numFmtId="181" fontId="9" fillId="5" borderId="0" xfId="9" applyNumberFormat="1" applyFont="1" applyFill="1" applyBorder="1"/>
    <xf numFmtId="164" fontId="9" fillId="0" borderId="0" xfId="0" applyNumberFormat="1" applyFont="1"/>
    <xf numFmtId="10" fontId="9" fillId="0" borderId="0" xfId="0" applyNumberFormat="1" applyFont="1"/>
    <xf numFmtId="0" fontId="9" fillId="0" borderId="7" xfId="0" applyFont="1" applyBorder="1"/>
    <xf numFmtId="43" fontId="9" fillId="5" borderId="9" xfId="9" applyFont="1" applyFill="1" applyBorder="1"/>
    <xf numFmtId="0" fontId="9" fillId="0" borderId="9" xfId="0" applyFont="1" applyBorder="1"/>
    <xf numFmtId="0" fontId="9" fillId="0" borderId="10" xfId="0" applyFont="1" applyBorder="1"/>
    <xf numFmtId="0" fontId="9" fillId="0" borderId="3" xfId="0" applyFont="1" applyBorder="1"/>
    <xf numFmtId="0" fontId="9" fillId="0" borderId="6" xfId="0" applyFont="1" applyBorder="1"/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1" fontId="9" fillId="0" borderId="6" xfId="0" quotePrefix="1" applyNumberFormat="1" applyFont="1" applyBorder="1" applyAlignment="1">
      <alignment horizontal="center" vertical="center" wrapText="1"/>
    </xf>
    <xf numFmtId="181" fontId="9" fillId="0" borderId="6" xfId="9" applyNumberFormat="1" applyFont="1" applyBorder="1"/>
    <xf numFmtId="0" fontId="9" fillId="0" borderId="3" xfId="0" applyFont="1" applyBorder="1" applyAlignment="1">
      <alignment horizontal="right"/>
    </xf>
    <xf numFmtId="181" fontId="9" fillId="0" borderId="6" xfId="0" applyNumberFormat="1" applyFont="1" applyBorder="1"/>
    <xf numFmtId="0" fontId="9" fillId="0" borderId="11" xfId="0" applyFont="1" applyBorder="1"/>
    <xf numFmtId="181" fontId="9" fillId="0" borderId="4" xfId="0" applyNumberFormat="1" applyFont="1" applyBorder="1"/>
    <xf numFmtId="181" fontId="9" fillId="0" borderId="12" xfId="0" applyNumberFormat="1" applyFont="1" applyBorder="1"/>
    <xf numFmtId="0" fontId="9" fillId="0" borderId="4" xfId="0" applyFont="1" applyBorder="1"/>
    <xf numFmtId="1" fontId="9" fillId="0" borderId="9" xfId="0" quotePrefix="1" applyNumberFormat="1" applyFont="1" applyBorder="1" applyAlignment="1">
      <alignment horizontal="center" vertical="center" wrapText="1"/>
    </xf>
    <xf numFmtId="1" fontId="9" fillId="0" borderId="10" xfId="0" quotePrefix="1" applyNumberFormat="1" applyFont="1" applyBorder="1" applyAlignment="1">
      <alignment horizontal="center" vertical="center" wrapText="1"/>
    </xf>
    <xf numFmtId="181" fontId="9" fillId="0" borderId="4" xfId="9" applyNumberFormat="1" applyFont="1" applyBorder="1"/>
    <xf numFmtId="181" fontId="9" fillId="0" borderId="12" xfId="9" applyNumberFormat="1" applyFont="1" applyBorder="1"/>
    <xf numFmtId="177" fontId="9" fillId="0" borderId="0" xfId="11" applyNumberFormat="1" applyFont="1" applyFill="1" applyAlignment="1">
      <alignment vertical="center"/>
    </xf>
    <xf numFmtId="172" fontId="9" fillId="0" borderId="0" xfId="17" applyNumberFormat="1" applyFont="1" applyFill="1" applyAlignment="1">
      <alignment vertical="center"/>
    </xf>
    <xf numFmtId="10" fontId="9" fillId="0" borderId="0" xfId="17" applyNumberFormat="1" applyFont="1" applyFill="1" applyAlignment="1">
      <alignment vertical="center"/>
    </xf>
    <xf numFmtId="0" fontId="11" fillId="0" borderId="2" xfId="16" applyFont="1" applyBorder="1" applyAlignment="1">
      <alignment vertical="center"/>
    </xf>
    <xf numFmtId="177" fontId="8" fillId="0" borderId="8" xfId="16" applyNumberFormat="1" applyFont="1" applyBorder="1" applyAlignment="1">
      <alignment vertical="center"/>
    </xf>
    <xf numFmtId="177" fontId="8" fillId="0" borderId="5" xfId="16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177" fontId="8" fillId="0" borderId="9" xfId="11" applyNumberFormat="1" applyFont="1" applyBorder="1" applyAlignment="1">
      <alignment vertical="center"/>
    </xf>
    <xf numFmtId="177" fontId="8" fillId="0" borderId="10" xfId="11" applyNumberFormat="1" applyFont="1" applyBorder="1" applyAlignment="1">
      <alignment vertical="center"/>
    </xf>
    <xf numFmtId="0" fontId="9" fillId="0" borderId="3" xfId="16" applyFont="1" applyBorder="1" applyAlignment="1">
      <alignment vertical="center"/>
    </xf>
    <xf numFmtId="177" fontId="9" fillId="0" borderId="0" xfId="11" applyNumberFormat="1" applyFont="1" applyBorder="1" applyAlignment="1">
      <alignment vertical="center"/>
    </xf>
    <xf numFmtId="177" fontId="9" fillId="0" borderId="6" xfId="11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177" fontId="9" fillId="0" borderId="6" xfId="0" applyNumberFormat="1" applyFont="1" applyBorder="1" applyAlignment="1">
      <alignment vertical="center"/>
    </xf>
    <xf numFmtId="0" fontId="8" fillId="0" borderId="3" xfId="16" applyFont="1" applyBorder="1" applyAlignment="1">
      <alignment vertical="center"/>
    </xf>
    <xf numFmtId="177" fontId="8" fillId="0" borderId="0" xfId="11" applyNumberFormat="1" applyFont="1" applyBorder="1" applyAlignment="1">
      <alignment vertical="center"/>
    </xf>
    <xf numFmtId="177" fontId="8" fillId="0" borderId="6" xfId="11" applyNumberFormat="1" applyFont="1" applyBorder="1" applyAlignment="1">
      <alignment vertical="center"/>
    </xf>
    <xf numFmtId="0" fontId="9" fillId="0" borderId="11" xfId="16" applyFont="1" applyBorder="1" applyAlignment="1">
      <alignment vertical="center"/>
    </xf>
    <xf numFmtId="177" fontId="9" fillId="0" borderId="4" xfId="16" applyNumberFormat="1" applyFont="1" applyBorder="1" applyAlignment="1">
      <alignment vertical="center"/>
    </xf>
    <xf numFmtId="177" fontId="9" fillId="0" borderId="4" xfId="0" applyNumberFormat="1" applyFont="1" applyBorder="1" applyAlignment="1">
      <alignment vertical="center"/>
    </xf>
    <xf numFmtId="0" fontId="9" fillId="0" borderId="7" xfId="16" applyFont="1" applyBorder="1" applyAlignment="1">
      <alignment vertical="center"/>
    </xf>
    <xf numFmtId="0" fontId="9" fillId="0" borderId="9" xfId="16" applyFont="1" applyBorder="1" applyAlignment="1">
      <alignment vertical="center"/>
    </xf>
    <xf numFmtId="177" fontId="9" fillId="0" borderId="9" xfId="16" applyNumberFormat="1" applyFont="1" applyBorder="1" applyAlignment="1">
      <alignment vertical="center"/>
    </xf>
    <xf numFmtId="0" fontId="9" fillId="0" borderId="10" xfId="16" applyFont="1" applyBorder="1" applyAlignment="1">
      <alignment vertical="center"/>
    </xf>
    <xf numFmtId="0" fontId="9" fillId="0" borderId="6" xfId="16" applyFont="1" applyBorder="1" applyAlignment="1">
      <alignment vertical="center"/>
    </xf>
    <xf numFmtId="180" fontId="9" fillId="0" borderId="0" xfId="9" applyNumberFormat="1" applyFont="1" applyFill="1" applyBorder="1" applyAlignment="1">
      <alignment vertical="center"/>
    </xf>
    <xf numFmtId="10" fontId="9" fillId="0" borderId="3" xfId="16" applyNumberFormat="1" applyFont="1" applyBorder="1" applyAlignment="1">
      <alignment horizontal="left" vertical="center"/>
    </xf>
    <xf numFmtId="0" fontId="9" fillId="0" borderId="4" xfId="16" applyFont="1" applyBorder="1" applyAlignment="1">
      <alignment vertical="center"/>
    </xf>
    <xf numFmtId="176" fontId="9" fillId="0" borderId="4" xfId="16" applyNumberFormat="1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6" borderId="9" xfId="0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6" borderId="0" xfId="0" applyFont="1" applyFill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72" fontId="9" fillId="0" borderId="9" xfId="17" applyNumberFormat="1" applyFont="1" applyFill="1" applyBorder="1" applyAlignment="1">
      <alignment vertical="center"/>
    </xf>
    <xf numFmtId="172" fontId="9" fillId="6" borderId="9" xfId="17" applyNumberFormat="1" applyFont="1" applyFill="1" applyBorder="1" applyAlignment="1">
      <alignment vertical="center"/>
    </xf>
    <xf numFmtId="172" fontId="9" fillId="0" borderId="9" xfId="17" applyNumberFormat="1" applyFont="1" applyBorder="1" applyAlignment="1">
      <alignment vertical="center"/>
    </xf>
    <xf numFmtId="172" fontId="9" fillId="0" borderId="10" xfId="17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72" fontId="7" fillId="0" borderId="8" xfId="17" applyNumberFormat="1" applyFont="1" applyFill="1" applyBorder="1" applyAlignment="1">
      <alignment vertical="center" wrapText="1"/>
    </xf>
    <xf numFmtId="172" fontId="7" fillId="6" borderId="8" xfId="17" applyNumberFormat="1" applyFont="1" applyFill="1" applyBorder="1" applyAlignment="1">
      <alignment vertical="center" wrapText="1"/>
    </xf>
    <xf numFmtId="172" fontId="9" fillId="0" borderId="4" xfId="17" applyNumberFormat="1" applyFont="1" applyFill="1" applyBorder="1" applyAlignment="1">
      <alignment vertical="center"/>
    </xf>
    <xf numFmtId="172" fontId="9" fillId="6" borderId="4" xfId="17" applyNumberFormat="1" applyFont="1" applyFill="1" applyBorder="1" applyAlignment="1">
      <alignment vertical="center"/>
    </xf>
    <xf numFmtId="172" fontId="9" fillId="0" borderId="4" xfId="17" applyNumberFormat="1" applyFont="1" applyBorder="1" applyAlignment="1">
      <alignment vertical="center"/>
    </xf>
    <xf numFmtId="172" fontId="9" fillId="0" borderId="12" xfId="17" applyNumberFormat="1" applyFont="1" applyBorder="1" applyAlignment="1">
      <alignment vertical="center"/>
    </xf>
    <xf numFmtId="3" fontId="9" fillId="6" borderId="9" xfId="17" applyNumberFormat="1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177" fontId="9" fillId="6" borderId="4" xfId="11" applyNumberFormat="1" applyFont="1" applyFill="1" applyBorder="1" applyAlignment="1">
      <alignment vertical="center"/>
    </xf>
    <xf numFmtId="3" fontId="9" fillId="6" borderId="8" xfId="17" applyNumberFormat="1" applyFont="1" applyFill="1" applyBorder="1" applyAlignment="1">
      <alignment vertical="center"/>
    </xf>
    <xf numFmtId="172" fontId="9" fillId="1" borderId="0" xfId="17" applyNumberFormat="1" applyFont="1" applyFill="1" applyBorder="1" applyAlignment="1">
      <alignment vertical="center"/>
    </xf>
    <xf numFmtId="172" fontId="9" fillId="1" borderId="6" xfId="17" applyNumberFormat="1" applyFont="1" applyFill="1" applyBorder="1" applyAlignment="1">
      <alignment vertical="center"/>
    </xf>
    <xf numFmtId="172" fontId="9" fillId="1" borderId="4" xfId="17" applyNumberFormat="1" applyFont="1" applyFill="1" applyBorder="1" applyAlignment="1">
      <alignment vertical="center"/>
    </xf>
    <xf numFmtId="172" fontId="9" fillId="1" borderId="12" xfId="17" applyNumberFormat="1" applyFont="1" applyFill="1" applyBorder="1" applyAlignment="1">
      <alignment vertical="center"/>
    </xf>
    <xf numFmtId="172" fontId="9" fillId="1" borderId="9" xfId="17" applyNumberFormat="1" applyFont="1" applyFill="1" applyBorder="1" applyAlignment="1">
      <alignment vertical="center"/>
    </xf>
    <xf numFmtId="172" fontId="9" fillId="1" borderId="10" xfId="17" applyNumberFormat="1" applyFont="1" applyFill="1" applyBorder="1" applyAlignment="1">
      <alignment vertical="center"/>
    </xf>
    <xf numFmtId="3" fontId="9" fillId="1" borderId="9" xfId="17" applyNumberFormat="1" applyFont="1" applyFill="1" applyBorder="1" applyAlignment="1">
      <alignment vertical="center"/>
    </xf>
    <xf numFmtId="0" fontId="9" fillId="1" borderId="0" xfId="0" applyFont="1" applyFill="1" applyAlignment="1">
      <alignment vertical="center"/>
    </xf>
    <xf numFmtId="0" fontId="9" fillId="1" borderId="4" xfId="0" applyFont="1" applyFill="1" applyBorder="1" applyAlignment="1">
      <alignment vertical="center"/>
    </xf>
    <xf numFmtId="0" fontId="9" fillId="1" borderId="8" xfId="0" applyFont="1" applyFill="1" applyBorder="1" applyAlignment="1">
      <alignment vertical="center"/>
    </xf>
    <xf numFmtId="172" fontId="9" fillId="1" borderId="8" xfId="17" applyNumberFormat="1" applyFont="1" applyFill="1" applyBorder="1" applyAlignment="1">
      <alignment vertical="center"/>
    </xf>
    <xf numFmtId="172" fontId="9" fillId="1" borderId="5" xfId="17" applyNumberFormat="1" applyFont="1" applyFill="1" applyBorder="1" applyAlignment="1">
      <alignment vertical="center"/>
    </xf>
    <xf numFmtId="0" fontId="8" fillId="0" borderId="7" xfId="16" applyFont="1" applyBorder="1" applyAlignment="1">
      <alignment vertical="center"/>
    </xf>
    <xf numFmtId="177" fontId="9" fillId="1" borderId="0" xfId="11" applyNumberFormat="1" applyFont="1" applyFill="1" applyBorder="1" applyAlignment="1">
      <alignment vertical="center"/>
    </xf>
    <xf numFmtId="177" fontId="9" fillId="1" borderId="4" xfId="11" applyNumberFormat="1" applyFont="1" applyFill="1" applyBorder="1" applyAlignment="1">
      <alignment vertical="center"/>
    </xf>
    <xf numFmtId="177" fontId="9" fillId="1" borderId="9" xfId="11" applyNumberFormat="1" applyFont="1" applyFill="1" applyBorder="1" applyAlignment="1">
      <alignment vertical="center"/>
    </xf>
    <xf numFmtId="3" fontId="9" fillId="6" borderId="4" xfId="17" applyNumberFormat="1" applyFont="1" applyFill="1" applyBorder="1" applyAlignment="1">
      <alignment vertical="center"/>
    </xf>
    <xf numFmtId="10" fontId="9" fillId="0" borderId="9" xfId="17" applyNumberFormat="1" applyFont="1" applyFill="1" applyBorder="1" applyAlignment="1">
      <alignment vertical="center"/>
    </xf>
    <xf numFmtId="10" fontId="9" fillId="6" borderId="9" xfId="17" applyNumberFormat="1" applyFont="1" applyFill="1" applyBorder="1" applyAlignment="1">
      <alignment vertical="center"/>
    </xf>
    <xf numFmtId="10" fontId="9" fillId="0" borderId="9" xfId="17" applyNumberFormat="1" applyFont="1" applyBorder="1" applyAlignment="1">
      <alignment vertical="center"/>
    </xf>
    <xf numFmtId="10" fontId="9" fillId="0" borderId="10" xfId="17" applyNumberFormat="1" applyFont="1" applyBorder="1" applyAlignment="1">
      <alignment vertical="center"/>
    </xf>
    <xf numFmtId="10" fontId="9" fillId="0" borderId="4" xfId="17" applyNumberFormat="1" applyFont="1" applyFill="1" applyBorder="1" applyAlignment="1">
      <alignment vertical="center"/>
    </xf>
    <xf numFmtId="10" fontId="9" fillId="6" borderId="4" xfId="17" applyNumberFormat="1" applyFont="1" applyFill="1" applyBorder="1" applyAlignment="1">
      <alignment vertical="center"/>
    </xf>
    <xf numFmtId="10" fontId="9" fillId="0" borderId="4" xfId="17" applyNumberFormat="1" applyFont="1" applyBorder="1" applyAlignment="1">
      <alignment vertical="center"/>
    </xf>
    <xf numFmtId="10" fontId="9" fillId="0" borderId="12" xfId="17" applyNumberFormat="1" applyFont="1" applyBorder="1" applyAlignment="1">
      <alignment vertical="center"/>
    </xf>
    <xf numFmtId="177" fontId="8" fillId="0" borderId="8" xfId="0" applyNumberFormat="1" applyFont="1" applyBorder="1" applyAlignment="1">
      <alignment vertical="center"/>
    </xf>
    <xf numFmtId="177" fontId="8" fillId="0" borderId="5" xfId="0" applyNumberFormat="1" applyFont="1" applyBorder="1" applyAlignment="1">
      <alignment vertical="center"/>
    </xf>
    <xf numFmtId="9" fontId="9" fillId="6" borderId="0" xfId="0" applyNumberFormat="1" applyFont="1" applyFill="1" applyAlignment="1">
      <alignment vertical="center"/>
    </xf>
    <xf numFmtId="175" fontId="9" fillId="6" borderId="4" xfId="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177" fontId="8" fillId="0" borderId="8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16" applyFont="1" applyBorder="1" applyAlignment="1">
      <alignment vertical="center"/>
    </xf>
    <xf numFmtId="177" fontId="9" fillId="0" borderId="10" xfId="16" applyNumberFormat="1" applyFont="1" applyBorder="1" applyAlignment="1">
      <alignment vertical="center"/>
    </xf>
    <xf numFmtId="177" fontId="9" fillId="0" borderId="12" xfId="16" applyNumberFormat="1" applyFont="1" applyBorder="1" applyAlignment="1">
      <alignment vertical="center"/>
    </xf>
    <xf numFmtId="182" fontId="9" fillId="0" borderId="0" xfId="17" applyNumberFormat="1" applyFont="1" applyAlignment="1">
      <alignment vertical="center"/>
    </xf>
    <xf numFmtId="182" fontId="9" fillId="0" borderId="0" xfId="11" applyNumberFormat="1" applyFont="1" applyAlignment="1">
      <alignment vertical="center"/>
    </xf>
    <xf numFmtId="182" fontId="9" fillId="1" borderId="0" xfId="17" applyNumberFormat="1" applyFont="1" applyFill="1" applyBorder="1" applyAlignment="1">
      <alignment vertical="center"/>
    </xf>
    <xf numFmtId="182" fontId="9" fillId="1" borderId="4" xfId="17" applyNumberFormat="1" applyFont="1" applyFill="1" applyBorder="1" applyAlignment="1">
      <alignment vertical="center"/>
    </xf>
    <xf numFmtId="0" fontId="9" fillId="1" borderId="9" xfId="0" applyFont="1" applyFill="1" applyBorder="1" applyAlignment="1">
      <alignment vertical="center"/>
    </xf>
    <xf numFmtId="0" fontId="9" fillId="1" borderId="10" xfId="0" applyFont="1" applyFill="1" applyBorder="1" applyAlignment="1">
      <alignment vertical="center"/>
    </xf>
    <xf numFmtId="177" fontId="9" fillId="0" borderId="12" xfId="0" applyNumberFormat="1" applyFont="1" applyBorder="1" applyAlignment="1">
      <alignment vertical="center"/>
    </xf>
    <xf numFmtId="3" fontId="9" fillId="1" borderId="10" xfId="17" applyNumberFormat="1" applyFont="1" applyFill="1" applyBorder="1" applyAlignment="1">
      <alignment vertical="center"/>
    </xf>
    <xf numFmtId="182" fontId="9" fillId="1" borderId="6" xfId="17" applyNumberFormat="1" applyFont="1" applyFill="1" applyBorder="1" applyAlignment="1">
      <alignment vertical="center"/>
    </xf>
    <xf numFmtId="182" fontId="9" fillId="1" borderId="12" xfId="17" applyNumberFormat="1" applyFont="1" applyFill="1" applyBorder="1" applyAlignment="1">
      <alignment vertical="center"/>
    </xf>
    <xf numFmtId="0" fontId="9" fillId="0" borderId="11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172" fontId="7" fillId="0" borderId="5" xfId="17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 textRotation="180" wrapText="1"/>
    </xf>
    <xf numFmtId="0" fontId="16" fillId="0" borderId="0" xfId="0" applyFont="1" applyAlignment="1">
      <alignment horizontal="center" vertical="center" textRotation="180" wrapText="1"/>
    </xf>
    <xf numFmtId="0" fontId="17" fillId="0" borderId="0" xfId="16" applyFont="1" applyAlignment="1">
      <alignment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83" fontId="9" fillId="0" borderId="4" xfId="17" applyNumberFormat="1" applyFont="1" applyBorder="1" applyAlignment="1">
      <alignment vertical="center"/>
    </xf>
    <xf numFmtId="183" fontId="9" fillId="0" borderId="4" xfId="0" applyNumberFormat="1" applyFont="1" applyBorder="1" applyAlignment="1">
      <alignment vertical="center"/>
    </xf>
    <xf numFmtId="183" fontId="9" fillId="0" borderId="12" xfId="0" applyNumberFormat="1" applyFont="1" applyBorder="1" applyAlignment="1">
      <alignment vertical="center"/>
    </xf>
    <xf numFmtId="0" fontId="12" fillId="0" borderId="0" xfId="0" applyFont="1"/>
    <xf numFmtId="0" fontId="20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43" fontId="9" fillId="6" borderId="4" xfId="9" applyFont="1" applyFill="1" applyBorder="1" applyAlignment="1">
      <alignment vertical="center"/>
    </xf>
    <xf numFmtId="3" fontId="9" fillId="6" borderId="0" xfId="17" applyNumberFormat="1" applyFont="1" applyFill="1" applyBorder="1" applyAlignment="1">
      <alignment vertical="center"/>
    </xf>
    <xf numFmtId="3" fontId="9" fillId="6" borderId="6" xfId="17" applyNumberFormat="1" applyFont="1" applyFill="1" applyBorder="1" applyAlignment="1">
      <alignment vertical="center"/>
    </xf>
    <xf numFmtId="3" fontId="9" fillId="6" borderId="12" xfId="17" applyNumberFormat="1" applyFont="1" applyFill="1" applyBorder="1" applyAlignment="1">
      <alignment vertical="center"/>
    </xf>
    <xf numFmtId="2" fontId="8" fillId="0" borderId="0" xfId="0" applyNumberFormat="1" applyFont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177" fontId="8" fillId="0" borderId="9" xfId="11" applyNumberFormat="1" applyFont="1" applyFill="1" applyBorder="1" applyAlignment="1">
      <alignment vertical="center"/>
    </xf>
    <xf numFmtId="177" fontId="8" fillId="0" borderId="0" xfId="11" applyNumberFormat="1" applyFont="1" applyFill="1" applyBorder="1" applyAlignment="1">
      <alignment vertical="center"/>
    </xf>
    <xf numFmtId="1" fontId="9" fillId="0" borderId="0" xfId="0" applyNumberFormat="1" applyFont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9" fillId="0" borderId="0" xfId="19" applyFont="1"/>
    <xf numFmtId="0" fontId="8" fillId="0" borderId="0" xfId="19" applyFont="1" applyAlignment="1">
      <alignment horizontal="left" vertical="center"/>
    </xf>
    <xf numFmtId="184" fontId="9" fillId="0" borderId="0" xfId="9" applyNumberFormat="1" applyFont="1"/>
    <xf numFmtId="2" fontId="9" fillId="0" borderId="0" xfId="19" applyNumberFormat="1" applyFont="1"/>
    <xf numFmtId="0" fontId="8" fillId="0" borderId="0" xfId="19" applyFont="1"/>
    <xf numFmtId="3" fontId="9" fillId="0" borderId="0" xfId="19" applyNumberFormat="1" applyFont="1"/>
    <xf numFmtId="0" fontId="11" fillId="0" borderId="0" xfId="19" applyFont="1"/>
    <xf numFmtId="186" fontId="9" fillId="0" borderId="0" xfId="19" applyNumberFormat="1" applyFont="1"/>
    <xf numFmtId="172" fontId="9" fillId="0" borderId="0" xfId="17" applyNumberFormat="1" applyFont="1"/>
    <xf numFmtId="0" fontId="9" fillId="7" borderId="0" xfId="19" applyFont="1" applyFill="1"/>
    <xf numFmtId="4" fontId="9" fillId="7" borderId="0" xfId="19" applyNumberFormat="1" applyFont="1" applyFill="1"/>
    <xf numFmtId="4" fontId="9" fillId="0" borderId="0" xfId="19" applyNumberFormat="1" applyFont="1"/>
    <xf numFmtId="183" fontId="9" fillId="0" borderId="0" xfId="19" applyNumberFormat="1" applyFont="1"/>
    <xf numFmtId="2" fontId="8" fillId="0" borderId="0" xfId="19" applyNumberFormat="1" applyFont="1"/>
    <xf numFmtId="0" fontId="10" fillId="0" borderId="0" xfId="19" applyFont="1"/>
    <xf numFmtId="9" fontId="9" fillId="0" borderId="0" xfId="17" applyFont="1"/>
    <xf numFmtId="0" fontId="9" fillId="0" borderId="0" xfId="19" quotePrefix="1" applyFont="1"/>
    <xf numFmtId="3" fontId="8" fillId="0" borderId="0" xfId="19" applyNumberFormat="1" applyFont="1"/>
    <xf numFmtId="0" fontId="8" fillId="8" borderId="2" xfId="19" applyFont="1" applyFill="1" applyBorder="1"/>
    <xf numFmtId="3" fontId="8" fillId="8" borderId="1" xfId="19" applyNumberFormat="1" applyFont="1" applyFill="1" applyBorder="1"/>
    <xf numFmtId="0" fontId="9" fillId="8" borderId="8" xfId="0" applyFont="1" applyFill="1" applyBorder="1"/>
    <xf numFmtId="0" fontId="8" fillId="0" borderId="0" xfId="0" applyFont="1" applyAlignment="1">
      <alignment horizontal="center" vertical="center" wrapText="1"/>
    </xf>
    <xf numFmtId="187" fontId="8" fillId="0" borderId="0" xfId="19" applyNumberFormat="1" applyFont="1"/>
    <xf numFmtId="188" fontId="9" fillId="0" borderId="0" xfId="17" applyNumberFormat="1" applyFont="1"/>
    <xf numFmtId="10" fontId="9" fillId="0" borderId="0" xfId="19" applyNumberFormat="1" applyFont="1"/>
    <xf numFmtId="9" fontId="9" fillId="0" borderId="0" xfId="19" applyNumberFormat="1" applyFont="1"/>
    <xf numFmtId="185" fontId="9" fillId="0" borderId="0" xfId="0" applyNumberFormat="1" applyFont="1"/>
    <xf numFmtId="0" fontId="12" fillId="0" borderId="0" xfId="19" applyFont="1"/>
    <xf numFmtId="0" fontId="19" fillId="0" borderId="0" xfId="19" applyFont="1"/>
    <xf numFmtId="0" fontId="12" fillId="9" borderId="0" xfId="19" applyFont="1" applyFill="1"/>
    <xf numFmtId="1" fontId="19" fillId="0" borderId="0" xfId="0" applyNumberFormat="1" applyFont="1" applyAlignment="1">
      <alignment horizontal="center" vertical="center" wrapText="1"/>
    </xf>
    <xf numFmtId="0" fontId="19" fillId="0" borderId="0" xfId="19" applyFont="1" applyAlignment="1">
      <alignment horizontal="center"/>
    </xf>
    <xf numFmtId="0" fontId="9" fillId="9" borderId="0" xfId="19" applyFont="1" applyFill="1"/>
    <xf numFmtId="4" fontId="9" fillId="9" borderId="0" xfId="19" applyNumberFormat="1" applyFont="1" applyFill="1"/>
    <xf numFmtId="0" fontId="9" fillId="9" borderId="0" xfId="0" applyFont="1" applyFill="1"/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horizontal="center"/>
    </xf>
    <xf numFmtId="10" fontId="24" fillId="0" borderId="0" xfId="0" applyNumberFormat="1" applyFont="1"/>
    <xf numFmtId="10" fontId="23" fillId="0" borderId="0" xfId="0" applyNumberFormat="1" applyFont="1"/>
    <xf numFmtId="3" fontId="0" fillId="0" borderId="0" xfId="0" applyNumberFormat="1"/>
    <xf numFmtId="3" fontId="23" fillId="0" borderId="0" xfId="0" applyNumberFormat="1" applyFont="1"/>
    <xf numFmtId="43" fontId="24" fillId="0" borderId="0" xfId="9" applyFont="1"/>
    <xf numFmtId="43" fontId="23" fillId="0" borderId="0" xfId="9" applyFont="1"/>
    <xf numFmtId="43" fontId="23" fillId="0" borderId="0" xfId="0" applyNumberFormat="1" applyFont="1"/>
    <xf numFmtId="0" fontId="20" fillId="0" borderId="15" xfId="0" applyFont="1" applyBorder="1"/>
    <xf numFmtId="1" fontId="20" fillId="0" borderId="15" xfId="0" applyNumberFormat="1" applyFont="1" applyBorder="1" applyAlignment="1">
      <alignment horizontal="center" vertical="center" wrapText="1"/>
    </xf>
    <xf numFmtId="0" fontId="21" fillId="0" borderId="0" xfId="0" applyFont="1"/>
    <xf numFmtId="184" fontId="9" fillId="0" borderId="0" xfId="9" applyNumberFormat="1" applyFont="1" applyFill="1" applyAlignment="1">
      <alignment vertical="center"/>
    </xf>
    <xf numFmtId="0" fontId="12" fillId="0" borderId="0" xfId="0" applyFont="1" applyAlignment="1">
      <alignment horizontal="center"/>
    </xf>
    <xf numFmtId="0" fontId="19" fillId="0" borderId="0" xfId="0" applyFont="1"/>
    <xf numFmtId="0" fontId="12" fillId="0" borderId="4" xfId="0" applyFont="1" applyBorder="1"/>
    <xf numFmtId="184" fontId="12" fillId="0" borderId="0" xfId="9" applyNumberFormat="1" applyFont="1" applyBorder="1"/>
    <xf numFmtId="184" fontId="12" fillId="0" borderId="0" xfId="9" applyNumberFormat="1" applyFont="1"/>
    <xf numFmtId="184" fontId="12" fillId="0" borderId="4" xfId="9" applyNumberFormat="1" applyFont="1" applyBorder="1"/>
    <xf numFmtId="184" fontId="19" fillId="0" borderId="0" xfId="9" applyNumberFormat="1" applyFont="1"/>
    <xf numFmtId="43" fontId="12" fillId="0" borderId="0" xfId="9" applyFont="1"/>
    <xf numFmtId="0" fontId="19" fillId="0" borderId="0" xfId="0" applyFont="1" applyAlignment="1">
      <alignment horizontal="center" wrapText="1"/>
    </xf>
    <xf numFmtId="43" fontId="12" fillId="0" borderId="0" xfId="0" applyNumberFormat="1" applyFont="1"/>
    <xf numFmtId="43" fontId="12" fillId="0" borderId="4" xfId="0" applyNumberFormat="1" applyFont="1" applyBorder="1"/>
    <xf numFmtId="0" fontId="25" fillId="0" borderId="1" xfId="0" applyFont="1" applyBorder="1"/>
    <xf numFmtId="0" fontId="25" fillId="0" borderId="0" xfId="0" applyFont="1"/>
    <xf numFmtId="9" fontId="0" fillId="0" borderId="0" xfId="0" applyNumberFormat="1"/>
    <xf numFmtId="43" fontId="25" fillId="0" borderId="0" xfId="0" applyNumberFormat="1" applyFont="1"/>
    <xf numFmtId="0" fontId="23" fillId="0" borderId="15" xfId="0" applyFont="1" applyBorder="1"/>
    <xf numFmtId="43" fontId="23" fillId="0" borderId="15" xfId="0" applyNumberFormat="1" applyFont="1" applyBorder="1"/>
    <xf numFmtId="0" fontId="22" fillId="0" borderId="0" xfId="19" applyFont="1"/>
    <xf numFmtId="0" fontId="38" fillId="10" borderId="19" xfId="0" applyFont="1" applyFill="1" applyBorder="1" applyAlignment="1">
      <alignment horizontal="center" vertical="center" wrapText="1"/>
    </xf>
    <xf numFmtId="3" fontId="38" fillId="10" borderId="19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38" fillId="10" borderId="20" xfId="0" applyFont="1" applyFill="1" applyBorder="1" applyAlignment="1">
      <alignment horizontal="center" vertical="center" wrapText="1"/>
    </xf>
    <xf numFmtId="3" fontId="38" fillId="11" borderId="19" xfId="0" applyNumberFormat="1" applyFont="1" applyFill="1" applyBorder="1" applyAlignment="1">
      <alignment horizontal="center" vertical="center" wrapText="1"/>
    </xf>
    <xf numFmtId="0" fontId="38" fillId="11" borderId="19" xfId="0" applyFont="1" applyFill="1" applyBorder="1" applyAlignment="1">
      <alignment horizontal="center" vertical="center" wrapText="1"/>
    </xf>
    <xf numFmtId="0" fontId="39" fillId="12" borderId="21" xfId="0" applyFont="1" applyFill="1" applyBorder="1" applyAlignment="1">
      <alignment horizontal="center" vertical="center" wrapText="1"/>
    </xf>
    <xf numFmtId="4" fontId="0" fillId="0" borderId="0" xfId="0" applyNumberFormat="1"/>
    <xf numFmtId="0" fontId="27" fillId="0" borderId="0" xfId="0" applyFont="1"/>
    <xf numFmtId="10" fontId="12" fillId="0" borderId="0" xfId="17" applyNumberFormat="1" applyFont="1"/>
    <xf numFmtId="43" fontId="24" fillId="0" borderId="0" xfId="0" applyNumberFormat="1" applyFont="1"/>
    <xf numFmtId="0" fontId="10" fillId="0" borderId="0" xfId="0" applyFont="1" applyAlignment="1">
      <alignment horizontal="right" vertical="center" wrapText="1"/>
    </xf>
    <xf numFmtId="0" fontId="0" fillId="0" borderId="1" xfId="0" applyBorder="1" applyAlignment="1">
      <alignment horizontal="right"/>
    </xf>
    <xf numFmtId="3" fontId="0" fillId="0" borderId="1" xfId="0" applyNumberFormat="1" applyBorder="1"/>
    <xf numFmtId="0" fontId="40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28" fillId="13" borderId="0" xfId="0" applyFont="1" applyFill="1" applyAlignment="1">
      <alignment horizontal="left" vertical="center" wrapText="1"/>
    </xf>
    <xf numFmtId="4" fontId="28" fillId="13" borderId="0" xfId="0" applyNumberFormat="1" applyFont="1" applyFill="1" applyAlignment="1">
      <alignment horizontal="right" vertical="center"/>
    </xf>
    <xf numFmtId="0" fontId="41" fillId="0" borderId="0" xfId="0" applyFont="1" applyAlignment="1">
      <alignment vertical="center" wrapText="1"/>
    </xf>
    <xf numFmtId="0" fontId="42" fillId="0" borderId="0" xfId="0" applyFont="1" applyAlignment="1">
      <alignment vertical="center" wrapText="1"/>
    </xf>
    <xf numFmtId="0" fontId="43" fillId="0" borderId="22" xfId="0" applyFont="1" applyBorder="1" applyAlignment="1">
      <alignment vertical="center" wrapText="1"/>
    </xf>
    <xf numFmtId="4" fontId="44" fillId="0" borderId="22" xfId="0" applyNumberFormat="1" applyFont="1" applyBorder="1" applyAlignment="1">
      <alignment vertical="center" wrapText="1"/>
    </xf>
    <xf numFmtId="0" fontId="44" fillId="0" borderId="22" xfId="0" applyFont="1" applyBorder="1" applyAlignment="1">
      <alignment vertical="center" wrapText="1"/>
    </xf>
    <xf numFmtId="3" fontId="9" fillId="14" borderId="0" xfId="0" applyNumberFormat="1" applyFont="1" applyFill="1" applyAlignment="1">
      <alignment vertical="center"/>
    </xf>
    <xf numFmtId="3" fontId="8" fillId="14" borderId="0" xfId="0" applyNumberFormat="1" applyFont="1" applyFill="1" applyAlignment="1">
      <alignment vertical="center"/>
    </xf>
    <xf numFmtId="0" fontId="38" fillId="14" borderId="19" xfId="0" applyFont="1" applyFill="1" applyBorder="1" applyAlignment="1">
      <alignment horizontal="center" vertical="center" wrapText="1"/>
    </xf>
    <xf numFmtId="43" fontId="25" fillId="14" borderId="0" xfId="0" applyNumberFormat="1" applyFont="1" applyFill="1"/>
    <xf numFmtId="43" fontId="24" fillId="14" borderId="0" xfId="0" applyNumberFormat="1" applyFont="1" applyFill="1"/>
    <xf numFmtId="183" fontId="38" fillId="10" borderId="19" xfId="0" applyNumberFormat="1" applyFont="1" applyFill="1" applyBorder="1" applyAlignment="1">
      <alignment horizontal="center" vertical="center" wrapText="1"/>
    </xf>
    <xf numFmtId="0" fontId="38" fillId="14" borderId="20" xfId="0" applyFont="1" applyFill="1" applyBorder="1" applyAlignment="1">
      <alignment horizontal="center" vertical="center" wrapText="1"/>
    </xf>
    <xf numFmtId="0" fontId="38" fillId="15" borderId="19" xfId="0" applyFont="1" applyFill="1" applyBorder="1" applyAlignment="1">
      <alignment horizontal="center" vertical="center" wrapText="1"/>
    </xf>
    <xf numFmtId="3" fontId="38" fillId="15" borderId="19" xfId="0" applyNumberFormat="1" applyFont="1" applyFill="1" applyBorder="1" applyAlignment="1">
      <alignment horizontal="center" vertical="center" wrapText="1"/>
    </xf>
    <xf numFmtId="44" fontId="0" fillId="15" borderId="0" xfId="0" applyNumberFormat="1" applyFill="1"/>
    <xf numFmtId="44" fontId="23" fillId="0" borderId="0" xfId="0" applyNumberFormat="1" applyFont="1" applyAlignment="1">
      <alignment horizontal="center" vertical="center"/>
    </xf>
    <xf numFmtId="44" fontId="23" fillId="15" borderId="0" xfId="0" applyNumberFormat="1" applyFont="1" applyFill="1" applyAlignment="1">
      <alignment horizontal="center" vertical="center"/>
    </xf>
    <xf numFmtId="44" fontId="0" fillId="0" borderId="1" xfId="0" applyNumberFormat="1" applyBorder="1"/>
    <xf numFmtId="10" fontId="0" fillId="0" borderId="0" xfId="17" applyNumberFormat="1" applyFont="1"/>
    <xf numFmtId="10" fontId="26" fillId="15" borderId="0" xfId="17" applyNumberFormat="1" applyFont="1" applyFill="1"/>
    <xf numFmtId="10" fontId="0" fillId="0" borderId="1" xfId="17" applyNumberFormat="1" applyFont="1" applyBorder="1"/>
    <xf numFmtId="190" fontId="0" fillId="0" borderId="1" xfId="0" applyNumberFormat="1" applyBorder="1"/>
    <xf numFmtId="10" fontId="26" fillId="14" borderId="0" xfId="17" applyNumberFormat="1" applyFont="1" applyFill="1"/>
    <xf numFmtId="44" fontId="0" fillId="14" borderId="0" xfId="0" applyNumberFormat="1" applyFill="1"/>
    <xf numFmtId="0" fontId="0" fillId="14" borderId="0" xfId="0" applyFill="1"/>
    <xf numFmtId="0" fontId="29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3" fontId="0" fillId="0" borderId="1" xfId="0" applyNumberFormat="1" applyBorder="1" applyAlignment="1">
      <alignment horizontal="right"/>
    </xf>
    <xf numFmtId="0" fontId="27" fillId="2" borderId="1" xfId="0" applyFont="1" applyFill="1" applyBorder="1" applyAlignment="1">
      <alignment horizontal="left" vertical="top" wrapText="1"/>
    </xf>
    <xf numFmtId="184" fontId="0" fillId="0" borderId="1" xfId="9" applyNumberFormat="1" applyFont="1" applyBorder="1"/>
    <xf numFmtId="184" fontId="0" fillId="0" borderId="0" xfId="9" applyNumberFormat="1" applyFont="1"/>
    <xf numFmtId="184" fontId="0" fillId="0" borderId="0" xfId="0" applyNumberFormat="1"/>
    <xf numFmtId="0" fontId="0" fillId="15" borderId="0" xfId="0" applyFill="1"/>
    <xf numFmtId="184" fontId="32" fillId="15" borderId="0" xfId="9" applyNumberFormat="1" applyFont="1" applyFill="1"/>
    <xf numFmtId="184" fontId="0" fillId="15" borderId="0" xfId="0" applyNumberFormat="1" applyFill="1"/>
    <xf numFmtId="3" fontId="38" fillId="14" borderId="19" xfId="0" applyNumberFormat="1" applyFont="1" applyFill="1" applyBorder="1" applyAlignment="1">
      <alignment horizontal="center" vertical="center" wrapText="1"/>
    </xf>
    <xf numFmtId="44" fontId="23" fillId="14" borderId="0" xfId="0" applyNumberFormat="1" applyFont="1" applyFill="1" applyAlignment="1">
      <alignment horizontal="center" vertical="center"/>
    </xf>
    <xf numFmtId="10" fontId="32" fillId="14" borderId="0" xfId="17" applyNumberFormat="1" applyFont="1" applyFill="1"/>
    <xf numFmtId="184" fontId="32" fillId="14" borderId="0" xfId="9" applyNumberFormat="1" applyFont="1" applyFill="1"/>
    <xf numFmtId="184" fontId="0" fillId="14" borderId="0" xfId="0" applyNumberFormat="1" applyFill="1"/>
    <xf numFmtId="184" fontId="27" fillId="0" borderId="0" xfId="0" applyNumberFormat="1" applyFont="1"/>
    <xf numFmtId="189" fontId="0" fillId="0" borderId="0" xfId="0" applyNumberFormat="1"/>
    <xf numFmtId="10" fontId="9" fillId="0" borderId="0" xfId="17" applyNumberFormat="1" applyFont="1" applyFill="1" applyBorder="1" applyAlignment="1">
      <alignment vertical="center"/>
    </xf>
    <xf numFmtId="10" fontId="9" fillId="6" borderId="0" xfId="17" applyNumberFormat="1" applyFont="1" applyFill="1" applyBorder="1" applyAlignment="1">
      <alignment vertical="center"/>
    </xf>
    <xf numFmtId="10" fontId="9" fillId="0" borderId="0" xfId="17" applyNumberFormat="1" applyFont="1" applyBorder="1" applyAlignment="1">
      <alignment vertical="center"/>
    </xf>
    <xf numFmtId="10" fontId="9" fillId="0" borderId="6" xfId="17" applyNumberFormat="1" applyFont="1" applyBorder="1" applyAlignment="1">
      <alignment vertical="center"/>
    </xf>
    <xf numFmtId="0" fontId="11" fillId="0" borderId="3" xfId="0" applyFont="1" applyBorder="1" applyAlignment="1">
      <alignment horizontal="right" vertical="center"/>
    </xf>
    <xf numFmtId="184" fontId="9" fillId="6" borderId="4" xfId="9" applyNumberFormat="1" applyFont="1" applyFill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84" fontId="0" fillId="0" borderId="23" xfId="0" applyNumberFormat="1" applyBorder="1" applyAlignment="1">
      <alignment horizontal="center" vertical="center"/>
    </xf>
    <xf numFmtId="0" fontId="0" fillId="16" borderId="23" xfId="0" applyFill="1" applyBorder="1" applyAlignment="1">
      <alignment horizontal="center" vertical="center"/>
    </xf>
    <xf numFmtId="0" fontId="26" fillId="0" borderId="0" xfId="0" applyFont="1"/>
    <xf numFmtId="0" fontId="0" fillId="17" borderId="23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0" fillId="18" borderId="23" xfId="0" applyFill="1" applyBorder="1" applyAlignment="1">
      <alignment horizontal="center" vertical="center"/>
    </xf>
    <xf numFmtId="0" fontId="0" fillId="19" borderId="23" xfId="0" applyFill="1" applyBorder="1" applyAlignment="1">
      <alignment horizontal="center" vertical="center"/>
    </xf>
    <xf numFmtId="0" fontId="0" fillId="20" borderId="23" xfId="0" applyFill="1" applyBorder="1" applyAlignment="1">
      <alignment horizontal="center" vertical="center"/>
    </xf>
    <xf numFmtId="0" fontId="0" fillId="14" borderId="23" xfId="0" applyFill="1" applyBorder="1" applyAlignment="1">
      <alignment horizontal="center" vertical="center"/>
    </xf>
    <xf numFmtId="0" fontId="0" fillId="15" borderId="23" xfId="0" applyFill="1" applyBorder="1" applyAlignment="1">
      <alignment horizontal="center" vertical="center"/>
    </xf>
    <xf numFmtId="0" fontId="38" fillId="14" borderId="24" xfId="0" applyFont="1" applyFill="1" applyBorder="1" applyAlignment="1">
      <alignment horizontal="center" vertical="center" wrapText="1"/>
    </xf>
    <xf numFmtId="0" fontId="38" fillId="10" borderId="25" xfId="0" applyFont="1" applyFill="1" applyBorder="1" applyAlignment="1">
      <alignment horizontal="center" vertical="center" wrapText="1"/>
    </xf>
    <xf numFmtId="3" fontId="38" fillId="10" borderId="25" xfId="0" applyNumberFormat="1" applyFont="1" applyFill="1" applyBorder="1" applyAlignment="1">
      <alignment horizontal="center" vertical="center" wrapText="1"/>
    </xf>
    <xf numFmtId="183" fontId="38" fillId="10" borderId="25" xfId="0" applyNumberFormat="1" applyFont="1" applyFill="1" applyBorder="1" applyAlignment="1">
      <alignment horizontal="center" vertical="center" wrapText="1"/>
    </xf>
    <xf numFmtId="44" fontId="23" fillId="0" borderId="25" xfId="0" applyNumberFormat="1" applyFont="1" applyBorder="1" applyAlignment="1">
      <alignment horizontal="center" vertical="center"/>
    </xf>
    <xf numFmtId="44" fontId="0" fillId="0" borderId="25" xfId="0" applyNumberFormat="1" applyBorder="1"/>
    <xf numFmtId="10" fontId="34" fillId="0" borderId="25" xfId="17" applyNumberFormat="1" applyFont="1" applyBorder="1"/>
    <xf numFmtId="0" fontId="0" fillId="0" borderId="25" xfId="0" applyBorder="1"/>
    <xf numFmtId="184" fontId="34" fillId="0" borderId="25" xfId="9" applyNumberFormat="1" applyFont="1" applyBorder="1"/>
    <xf numFmtId="184" fontId="0" fillId="16" borderId="25" xfId="0" applyNumberFormat="1" applyFill="1" applyBorder="1"/>
    <xf numFmtId="184" fontId="26" fillId="16" borderId="25" xfId="0" applyNumberFormat="1" applyFont="1" applyFill="1" applyBorder="1"/>
    <xf numFmtId="0" fontId="38" fillId="15" borderId="25" xfId="0" applyFont="1" applyFill="1" applyBorder="1" applyAlignment="1">
      <alignment horizontal="center" vertical="center" wrapText="1"/>
    </xf>
    <xf numFmtId="3" fontId="38" fillId="15" borderId="25" xfId="0" applyNumberFormat="1" applyFont="1" applyFill="1" applyBorder="1" applyAlignment="1">
      <alignment horizontal="center" vertical="center" wrapText="1"/>
    </xf>
    <xf numFmtId="44" fontId="23" fillId="15" borderId="25" xfId="0" applyNumberFormat="1" applyFont="1" applyFill="1" applyBorder="1" applyAlignment="1">
      <alignment horizontal="center" vertical="center"/>
    </xf>
    <xf numFmtId="44" fontId="0" fillId="15" borderId="25" xfId="0" applyNumberFormat="1" applyFill="1" applyBorder="1"/>
    <xf numFmtId="10" fontId="26" fillId="15" borderId="25" xfId="17" applyNumberFormat="1" applyFont="1" applyFill="1" applyBorder="1"/>
    <xf numFmtId="0" fontId="0" fillId="15" borderId="25" xfId="0" applyFill="1" applyBorder="1"/>
    <xf numFmtId="184" fontId="26" fillId="15" borderId="25" xfId="9" applyNumberFormat="1" applyFont="1" applyFill="1" applyBorder="1"/>
    <xf numFmtId="184" fontId="0" fillId="15" borderId="25" xfId="0" applyNumberFormat="1" applyFill="1" applyBorder="1"/>
    <xf numFmtId="184" fontId="26" fillId="17" borderId="25" xfId="0" applyNumberFormat="1" applyFont="1" applyFill="1" applyBorder="1"/>
    <xf numFmtId="184" fontId="26" fillId="0" borderId="25" xfId="0" applyNumberFormat="1" applyFont="1" applyBorder="1"/>
    <xf numFmtId="184" fontId="26" fillId="11" borderId="25" xfId="0" applyNumberFormat="1" applyFont="1" applyFill="1" applyBorder="1"/>
    <xf numFmtId="0" fontId="38" fillId="14" borderId="25" xfId="0" applyFont="1" applyFill="1" applyBorder="1" applyAlignment="1">
      <alignment horizontal="center" vertical="center" wrapText="1"/>
    </xf>
    <xf numFmtId="3" fontId="38" fillId="14" borderId="25" xfId="0" applyNumberFormat="1" applyFont="1" applyFill="1" applyBorder="1" applyAlignment="1">
      <alignment horizontal="center" vertical="center" wrapText="1"/>
    </xf>
    <xf numFmtId="44" fontId="23" fillId="14" borderId="25" xfId="0" applyNumberFormat="1" applyFont="1" applyFill="1" applyBorder="1" applyAlignment="1">
      <alignment horizontal="center" vertical="center"/>
    </xf>
    <xf numFmtId="44" fontId="0" fillId="14" borderId="25" xfId="0" applyNumberFormat="1" applyFill="1" applyBorder="1"/>
    <xf numFmtId="10" fontId="26" fillId="14" borderId="25" xfId="17" applyNumberFormat="1" applyFont="1" applyFill="1" applyBorder="1"/>
    <xf numFmtId="0" fontId="0" fillId="14" borderId="25" xfId="0" applyFill="1" applyBorder="1"/>
    <xf numFmtId="184" fontId="26" fillId="14" borderId="25" xfId="9" applyNumberFormat="1" applyFont="1" applyFill="1" applyBorder="1"/>
    <xf numFmtId="184" fontId="0" fillId="14" borderId="25" xfId="0" applyNumberFormat="1" applyFill="1" applyBorder="1"/>
    <xf numFmtId="184" fontId="26" fillId="18" borderId="25" xfId="0" applyNumberFormat="1" applyFont="1" applyFill="1" applyBorder="1"/>
    <xf numFmtId="184" fontId="26" fillId="19" borderId="25" xfId="0" applyNumberFormat="1" applyFont="1" applyFill="1" applyBorder="1"/>
    <xf numFmtId="184" fontId="26" fillId="20" borderId="25" xfId="0" applyNumberFormat="1" applyFont="1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190" fontId="0" fillId="0" borderId="1" xfId="0" applyNumberFormat="1" applyBorder="1" applyAlignment="1">
      <alignment vertical="center"/>
    </xf>
    <xf numFmtId="184" fontId="0" fillId="0" borderId="1" xfId="9" applyNumberFormat="1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3" fontId="23" fillId="0" borderId="1" xfId="0" applyNumberFormat="1" applyFont="1" applyBorder="1" applyAlignment="1">
      <alignment vertical="center"/>
    </xf>
    <xf numFmtId="3" fontId="23" fillId="0" borderId="1" xfId="0" applyNumberFormat="1" applyFont="1" applyBorder="1" applyAlignment="1">
      <alignment horizontal="center" vertical="center"/>
    </xf>
    <xf numFmtId="44" fontId="23" fillId="0" borderId="1" xfId="0" applyNumberFormat="1" applyFont="1" applyBorder="1" applyAlignment="1">
      <alignment vertical="center"/>
    </xf>
    <xf numFmtId="10" fontId="23" fillId="0" borderId="1" xfId="17" applyNumberFormat="1" applyFont="1" applyBorder="1" applyAlignment="1">
      <alignment vertical="center"/>
    </xf>
    <xf numFmtId="190" fontId="23" fillId="0" borderId="1" xfId="0" applyNumberFormat="1" applyFont="1" applyBorder="1" applyAlignment="1">
      <alignment vertical="center"/>
    </xf>
    <xf numFmtId="184" fontId="23" fillId="0" borderId="1" xfId="9" applyNumberFormat="1" applyFont="1" applyBorder="1" applyAlignment="1">
      <alignment vertical="center"/>
    </xf>
    <xf numFmtId="9" fontId="9" fillId="6" borderId="4" xfId="17" applyFont="1" applyFill="1" applyBorder="1" applyAlignment="1">
      <alignment vertical="center"/>
    </xf>
    <xf numFmtId="0" fontId="9" fillId="0" borderId="3" xfId="0" applyFont="1" applyBorder="1" applyAlignment="1">
      <alignment horizontal="right" vertical="center"/>
    </xf>
    <xf numFmtId="0" fontId="45" fillId="12" borderId="21" xfId="0" applyFont="1" applyFill="1" applyBorder="1" applyAlignment="1">
      <alignment horizontal="center" vertical="center" wrapText="1"/>
    </xf>
    <xf numFmtId="0" fontId="45" fillId="12" borderId="26" xfId="0" applyFont="1" applyFill="1" applyBorder="1" applyAlignment="1">
      <alignment horizontal="center" vertical="center" wrapText="1"/>
    </xf>
    <xf numFmtId="0" fontId="45" fillId="12" borderId="0" xfId="0" applyFont="1" applyFill="1" applyAlignment="1">
      <alignment horizontal="center" vertical="center" wrapText="1"/>
    </xf>
    <xf numFmtId="0" fontId="46" fillId="13" borderId="27" xfId="0" applyFont="1" applyFill="1" applyBorder="1" applyAlignment="1">
      <alignment horizontal="center" vertical="center" wrapText="1"/>
    </xf>
    <xf numFmtId="4" fontId="46" fillId="13" borderId="27" xfId="0" applyNumberFormat="1" applyFont="1" applyFill="1" applyBorder="1" applyAlignment="1">
      <alignment horizontal="right" vertical="center"/>
    </xf>
    <xf numFmtId="0" fontId="46" fillId="13" borderId="27" xfId="0" applyFont="1" applyFill="1" applyBorder="1" applyAlignment="1">
      <alignment horizontal="right" vertical="center"/>
    </xf>
    <xf numFmtId="0" fontId="12" fillId="0" borderId="4" xfId="0" applyFont="1" applyBorder="1" applyAlignment="1">
      <alignment horizontal="center"/>
    </xf>
    <xf numFmtId="43" fontId="12" fillId="0" borderId="4" xfId="9" applyFont="1" applyBorder="1"/>
    <xf numFmtId="0" fontId="0" fillId="0" borderId="0" xfId="0" applyAlignment="1">
      <alignment vertical="center"/>
    </xf>
    <xf numFmtId="4" fontId="35" fillId="0" borderId="27" xfId="0" applyNumberFormat="1" applyFont="1" applyBorder="1" applyAlignment="1">
      <alignment vertical="center"/>
    </xf>
    <xf numFmtId="0" fontId="46" fillId="21" borderId="28" xfId="0" applyFont="1" applyFill="1" applyBorder="1" applyAlignment="1">
      <alignment horizontal="center" vertical="center" wrapText="1"/>
    </xf>
    <xf numFmtId="4" fontId="46" fillId="21" borderId="28" xfId="0" applyNumberFormat="1" applyFont="1" applyFill="1" applyBorder="1" applyAlignment="1">
      <alignment horizontal="right" vertical="center"/>
    </xf>
    <xf numFmtId="0" fontId="46" fillId="21" borderId="28" xfId="0" applyFont="1" applyFill="1" applyBorder="1" applyAlignment="1">
      <alignment horizontal="right" vertical="center"/>
    </xf>
    <xf numFmtId="4" fontId="35" fillId="21" borderId="28" xfId="0" applyNumberFormat="1" applyFont="1" applyFill="1" applyBorder="1" applyAlignment="1">
      <alignment vertical="center"/>
    </xf>
    <xf numFmtId="44" fontId="0" fillId="0" borderId="1" xfId="9" applyNumberFormat="1" applyFont="1" applyBorder="1" applyAlignment="1">
      <alignment vertical="center"/>
    </xf>
    <xf numFmtId="3" fontId="8" fillId="6" borderId="8" xfId="17" applyNumberFormat="1" applyFont="1" applyFill="1" applyBorder="1" applyAlignment="1">
      <alignment vertical="center"/>
    </xf>
    <xf numFmtId="0" fontId="10" fillId="1" borderId="8" xfId="0" applyFont="1" applyFill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 wrapText="1"/>
    </xf>
    <xf numFmtId="177" fontId="10" fillId="1" borderId="4" xfId="11" applyNumberFormat="1" applyFont="1" applyFill="1" applyBorder="1" applyAlignment="1">
      <alignment vertical="center"/>
    </xf>
    <xf numFmtId="3" fontId="10" fillId="0" borderId="8" xfId="17" applyNumberFormat="1" applyFont="1" applyFill="1" applyBorder="1" applyAlignment="1">
      <alignment vertical="center"/>
    </xf>
    <xf numFmtId="172" fontId="9" fillId="0" borderId="8" xfId="17" applyNumberFormat="1" applyFont="1" applyFill="1" applyBorder="1" applyAlignment="1">
      <alignment vertical="center"/>
    </xf>
    <xf numFmtId="172" fontId="9" fillId="0" borderId="5" xfId="17" applyNumberFormat="1" applyFont="1" applyFill="1" applyBorder="1" applyAlignment="1">
      <alignment vertical="center"/>
    </xf>
    <xf numFmtId="184" fontId="10" fillId="0" borderId="4" xfId="9" applyNumberFormat="1" applyFont="1" applyFill="1" applyBorder="1" applyAlignment="1">
      <alignment vertical="center"/>
    </xf>
    <xf numFmtId="43" fontId="10" fillId="0" borderId="4" xfId="9" applyFont="1" applyFill="1" applyBorder="1" applyAlignment="1">
      <alignment vertical="center"/>
    </xf>
    <xf numFmtId="0" fontId="47" fillId="22" borderId="23" xfId="0" applyFont="1" applyFill="1" applyBorder="1" applyAlignment="1">
      <alignment horizontal="center" vertical="center"/>
    </xf>
    <xf numFmtId="184" fontId="47" fillId="22" borderId="23" xfId="0" applyNumberFormat="1" applyFont="1" applyFill="1" applyBorder="1" applyAlignment="1">
      <alignment horizontal="center" vertical="center"/>
    </xf>
    <xf numFmtId="0" fontId="48" fillId="22" borderId="23" xfId="0" applyFont="1" applyFill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36" fillId="0" borderId="3" xfId="0" applyFont="1" applyBorder="1" applyAlignment="1">
      <alignment horizontal="right" vertical="center"/>
    </xf>
    <xf numFmtId="3" fontId="36" fillId="0" borderId="0" xfId="0" applyNumberFormat="1" applyFont="1" applyAlignment="1">
      <alignment vertical="center"/>
    </xf>
    <xf numFmtId="0" fontId="37" fillId="0" borderId="3" xfId="0" applyFont="1" applyBorder="1" applyAlignment="1">
      <alignment vertical="center"/>
    </xf>
    <xf numFmtId="3" fontId="9" fillId="1" borderId="0" xfId="17" applyNumberFormat="1" applyFont="1" applyFill="1" applyBorder="1" applyAlignment="1">
      <alignment vertical="center"/>
    </xf>
    <xf numFmtId="0" fontId="9" fillId="1" borderId="6" xfId="0" applyFont="1" applyFill="1" applyBorder="1" applyAlignment="1">
      <alignment vertical="center"/>
    </xf>
    <xf numFmtId="3" fontId="9" fillId="1" borderId="6" xfId="17" applyNumberFormat="1" applyFont="1" applyFill="1" applyBorder="1" applyAlignment="1">
      <alignment vertical="center"/>
    </xf>
    <xf numFmtId="2" fontId="9" fillId="0" borderId="0" xfId="0" applyNumberFormat="1" applyFont="1" applyAlignment="1">
      <alignment horizontal="right" vertical="center"/>
    </xf>
    <xf numFmtId="3" fontId="0" fillId="11" borderId="1" xfId="0" applyNumberFormat="1" applyFill="1" applyBorder="1" applyAlignment="1">
      <alignment vertical="center"/>
    </xf>
    <xf numFmtId="3" fontId="0" fillId="11" borderId="1" xfId="0" applyNumberFormat="1" applyFill="1" applyBorder="1" applyAlignment="1">
      <alignment horizontal="center" vertical="center"/>
    </xf>
    <xf numFmtId="44" fontId="0" fillId="11" borderId="1" xfId="0" applyNumberFormat="1" applyFill="1" applyBorder="1" applyAlignment="1">
      <alignment vertical="center"/>
    </xf>
    <xf numFmtId="10" fontId="34" fillId="17" borderId="1" xfId="17" applyNumberFormat="1" applyFont="1" applyFill="1" applyBorder="1" applyAlignment="1">
      <alignment vertical="center"/>
    </xf>
    <xf numFmtId="190" fontId="0" fillId="17" borderId="1" xfId="0" applyNumberFormat="1" applyFill="1" applyBorder="1" applyAlignment="1">
      <alignment vertical="center"/>
    </xf>
    <xf numFmtId="44" fontId="0" fillId="0" borderId="0" xfId="25" applyFont="1"/>
    <xf numFmtId="191" fontId="0" fillId="0" borderId="0" xfId="0" applyNumberFormat="1"/>
    <xf numFmtId="192" fontId="0" fillId="0" borderId="0" xfId="0" applyNumberFormat="1"/>
    <xf numFmtId="186" fontId="0" fillId="0" borderId="1" xfId="0" applyNumberFormat="1" applyBorder="1"/>
    <xf numFmtId="0" fontId="38" fillId="10" borderId="29" xfId="0" applyFont="1" applyFill="1" applyBorder="1" applyAlignment="1">
      <alignment horizontal="center" vertical="center" wrapText="1"/>
    </xf>
    <xf numFmtId="0" fontId="38" fillId="10" borderId="30" xfId="0" applyFont="1" applyFill="1" applyBorder="1" applyAlignment="1">
      <alignment horizontal="center" vertical="center" wrapText="1"/>
    </xf>
    <xf numFmtId="0" fontId="38" fillId="10" borderId="31" xfId="0" applyFont="1" applyFill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top" wrapText="1"/>
    </xf>
    <xf numFmtId="0" fontId="30" fillId="2" borderId="1" xfId="0" applyFont="1" applyFill="1" applyBorder="1" applyAlignment="1">
      <alignment horizontal="left" vertical="top" wrapText="1"/>
    </xf>
    <xf numFmtId="0" fontId="16" fillId="0" borderId="0" xfId="0" applyFont="1" applyAlignment="1">
      <alignment horizontal="center" vertical="center" textRotation="180" wrapTex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</cellXfs>
  <cellStyles count="26">
    <cellStyle name="Comma [0]_listini fastweb" xfId="1" xr:uid="{A2C01C56-E903-C245-B171-CA7CA7E13D7F}"/>
    <cellStyle name="Comma_Int. Data Table" xfId="2" xr:uid="{9DAAE9A3-5766-474A-BA33-4CE29039BD8D}"/>
    <cellStyle name="Currency [0]_Int. Data Table" xfId="3" xr:uid="{933B1B1D-522D-CA4C-A112-D936B90941FE}"/>
    <cellStyle name="Currency_Int. Data Table" xfId="4" xr:uid="{9C26B5F1-E5A4-3F4F-8362-94C3C27CC763}"/>
    <cellStyle name="Dezimal [0]_Budget" xfId="5" xr:uid="{240642CA-4D46-DF41-98F2-A83CCC8FF3FB}"/>
    <cellStyle name="Dezimal_Budget" xfId="6" xr:uid="{8F53898A-D60C-8046-A822-F8328917A68E}"/>
    <cellStyle name="Euro" xfId="7" xr:uid="{230341AF-9CC1-FB44-96E6-C9FC5A456929}"/>
    <cellStyle name="Hyperlink" xfId="8" xr:uid="{2ABA532B-23B2-A645-A8D9-2D08B7B6C053}"/>
    <cellStyle name="Migliaia" xfId="9" builtinId="3"/>
    <cellStyle name="Migliaia (0)_BTB" xfId="10" xr:uid="{EF3354E7-7C4B-3E42-AEA7-B4109BD5000C}"/>
    <cellStyle name="Migliaia [0]" xfId="11" builtinId="6"/>
    <cellStyle name="Non_definito" xfId="12" xr:uid="{4775CC7F-91C2-AB4F-B8FB-428447248263}"/>
    <cellStyle name="Normal_Analisi economica accessi" xfId="13" xr:uid="{00CE627E-AD7A-9D4F-A6A0-99ED03DB8E85}"/>
    <cellStyle name="Normale" xfId="0" builtinId="0"/>
    <cellStyle name="Normale_BP5anni" xfId="14" xr:uid="{5FD7BFCC-46DF-734A-834E-CEAE97C1695B}"/>
    <cellStyle name="Normale_Revised B.P.MiPiacedef2001-2005 rev5" xfId="15" xr:uid="{5E163CBD-DBE9-584C-8995-699D075BB59E}"/>
    <cellStyle name="Normale_Simulazione Rev(1).2" xfId="16" xr:uid="{96B69E1D-7731-2A44-9183-DCA623089A26}"/>
    <cellStyle name="Percentuale" xfId="17" builtinId="5"/>
    <cellStyle name="Standard_Anpassen der Amortisation" xfId="18" xr:uid="{6644552C-31EC-464D-8B30-B744585FC028}"/>
    <cellStyle name="Stile 1" xfId="19" xr:uid="{A7FB6A97-4BC5-104E-9588-329EA84731AF}"/>
    <cellStyle name="Valuta" xfId="25" builtinId="4"/>
    <cellStyle name="Valuta (0)_BTB" xfId="20" xr:uid="{56669C84-2EC1-8845-BF7C-10C2A5FC2E60}"/>
    <cellStyle name="Valuta [0]" xfId="21" builtinId="7"/>
    <cellStyle name="Währung" xfId="22" xr:uid="{701239E2-0C94-4A4B-BAFA-84DFF1420AB0}"/>
    <cellStyle name="Währung [0]_Budget" xfId="23" xr:uid="{9CF08C49-C7B5-0E43-910A-B0B41F9F01DB}"/>
    <cellStyle name="Währung_Budget" xfId="24" xr:uid="{B48C9FE1-1CDF-584B-B3F5-8113F4080B74}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7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6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5.xml"/><Relationship Id="rId20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1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it-IT"/>
              <a:t>Mezzi propri e mezzi di terzi</a:t>
            </a:r>
          </a:p>
        </c:rich>
      </c:tx>
      <c:layout>
        <c:manualLayout>
          <c:xMode val="edge"/>
          <c:yMode val="edge"/>
          <c:x val="0.39365811410543411"/>
          <c:y val="7.936562175011142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1477184841452"/>
          <c:y val="7.3696145124716561E-2"/>
          <c:w val="0.67130703789636492"/>
          <c:h val="0.78911564625850339"/>
        </c:manualLayout>
      </c:layout>
      <c:lineChart>
        <c:grouping val="standard"/>
        <c:varyColors val="0"/>
        <c:ser>
          <c:idx val="1"/>
          <c:order val="0"/>
          <c:tx>
            <c:strRef>
              <c:f>Appoggio!$B$3</c:f>
              <c:strCache>
                <c:ptCount val="1"/>
                <c:pt idx="0">
                  <c:v>Debiti finanz. a breve
- Ipotesi "Base"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Appoggio!$C$1:$AG$1</c:f>
              <c:strCache>
                <c:ptCount val="31"/>
                <c:pt idx="0">
                  <c:v>Anno 1</c:v>
                </c:pt>
                <c:pt idx="1">
                  <c:v>Anno 2</c:v>
                </c:pt>
                <c:pt idx="2">
                  <c:v>Anno 3</c:v>
                </c:pt>
                <c:pt idx="3">
                  <c:v>Anno 4</c:v>
                </c:pt>
                <c:pt idx="4">
                  <c:v>Anno 5</c:v>
                </c:pt>
                <c:pt idx="5">
                  <c:v>Anno 6</c:v>
                </c:pt>
                <c:pt idx="6">
                  <c:v>Anno 7</c:v>
                </c:pt>
                <c:pt idx="7">
                  <c:v>Anno 8</c:v>
                </c:pt>
                <c:pt idx="8">
                  <c:v>Anno 9</c:v>
                </c:pt>
                <c:pt idx="9">
                  <c:v>Anno 10</c:v>
                </c:pt>
                <c:pt idx="10">
                  <c:v>Anno 11</c:v>
                </c:pt>
                <c:pt idx="11">
                  <c:v>Anno 12</c:v>
                </c:pt>
                <c:pt idx="12">
                  <c:v>Anno 13</c:v>
                </c:pt>
                <c:pt idx="13">
                  <c:v>Anno 14</c:v>
                </c:pt>
                <c:pt idx="14">
                  <c:v>Anno 15</c:v>
                </c:pt>
                <c:pt idx="15">
                  <c:v>Anno 16</c:v>
                </c:pt>
                <c:pt idx="16">
                  <c:v>Anno 17</c:v>
                </c:pt>
                <c:pt idx="17">
                  <c:v>Anno 18</c:v>
                </c:pt>
                <c:pt idx="18">
                  <c:v>Anno 19</c:v>
                </c:pt>
                <c:pt idx="19">
                  <c:v>Anno 20</c:v>
                </c:pt>
                <c:pt idx="20">
                  <c:v>Anno 21</c:v>
                </c:pt>
                <c:pt idx="21">
                  <c:v>Anno 22</c:v>
                </c:pt>
                <c:pt idx="22">
                  <c:v>Anno 23</c:v>
                </c:pt>
                <c:pt idx="23">
                  <c:v>Anno 24</c:v>
                </c:pt>
                <c:pt idx="24">
                  <c:v>Anno 25</c:v>
                </c:pt>
                <c:pt idx="25">
                  <c:v>Anno 26</c:v>
                </c:pt>
                <c:pt idx="26">
                  <c:v>Anno 27</c:v>
                </c:pt>
                <c:pt idx="27">
                  <c:v>Anno 28</c:v>
                </c:pt>
                <c:pt idx="28">
                  <c:v>Anno 29</c:v>
                </c:pt>
                <c:pt idx="29">
                  <c:v>Anno 30</c:v>
                </c:pt>
                <c:pt idx="30">
                  <c:v>Anno 31</c:v>
                </c:pt>
              </c:strCache>
            </c:strRef>
          </c:cat>
          <c:val>
            <c:numRef>
              <c:f>Appoggio!$C$3:$AG$3</c:f>
              <c:numCache>
                <c:formatCode>#,##0\ ;\(#,##0\)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655-A644-9C31-4FCBF5A786C7}"/>
            </c:ext>
          </c:extLst>
        </c:ser>
        <c:ser>
          <c:idx val="2"/>
          <c:order val="1"/>
          <c:tx>
            <c:strRef>
              <c:f>Appoggio!$B$4</c:f>
              <c:strCache>
                <c:ptCount val="1"/>
                <c:pt idx="0">
                  <c:v>Debiti finanz. a breve
- Ipotesi "Pessimistica"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Appoggio!$C$1:$AG$1</c:f>
              <c:strCache>
                <c:ptCount val="31"/>
                <c:pt idx="0">
                  <c:v>Anno 1</c:v>
                </c:pt>
                <c:pt idx="1">
                  <c:v>Anno 2</c:v>
                </c:pt>
                <c:pt idx="2">
                  <c:v>Anno 3</c:v>
                </c:pt>
                <c:pt idx="3">
                  <c:v>Anno 4</c:v>
                </c:pt>
                <c:pt idx="4">
                  <c:v>Anno 5</c:v>
                </c:pt>
                <c:pt idx="5">
                  <c:v>Anno 6</c:v>
                </c:pt>
                <c:pt idx="6">
                  <c:v>Anno 7</c:v>
                </c:pt>
                <c:pt idx="7">
                  <c:v>Anno 8</c:v>
                </c:pt>
                <c:pt idx="8">
                  <c:v>Anno 9</c:v>
                </c:pt>
                <c:pt idx="9">
                  <c:v>Anno 10</c:v>
                </c:pt>
                <c:pt idx="10">
                  <c:v>Anno 11</c:v>
                </c:pt>
                <c:pt idx="11">
                  <c:v>Anno 12</c:v>
                </c:pt>
                <c:pt idx="12">
                  <c:v>Anno 13</c:v>
                </c:pt>
                <c:pt idx="13">
                  <c:v>Anno 14</c:v>
                </c:pt>
                <c:pt idx="14">
                  <c:v>Anno 15</c:v>
                </c:pt>
                <c:pt idx="15">
                  <c:v>Anno 16</c:v>
                </c:pt>
                <c:pt idx="16">
                  <c:v>Anno 17</c:v>
                </c:pt>
                <c:pt idx="17">
                  <c:v>Anno 18</c:v>
                </c:pt>
                <c:pt idx="18">
                  <c:v>Anno 19</c:v>
                </c:pt>
                <c:pt idx="19">
                  <c:v>Anno 20</c:v>
                </c:pt>
                <c:pt idx="20">
                  <c:v>Anno 21</c:v>
                </c:pt>
                <c:pt idx="21">
                  <c:v>Anno 22</c:v>
                </c:pt>
                <c:pt idx="22">
                  <c:v>Anno 23</c:v>
                </c:pt>
                <c:pt idx="23">
                  <c:v>Anno 24</c:v>
                </c:pt>
                <c:pt idx="24">
                  <c:v>Anno 25</c:v>
                </c:pt>
                <c:pt idx="25">
                  <c:v>Anno 26</c:v>
                </c:pt>
                <c:pt idx="26">
                  <c:v>Anno 27</c:v>
                </c:pt>
                <c:pt idx="27">
                  <c:v>Anno 28</c:v>
                </c:pt>
                <c:pt idx="28">
                  <c:v>Anno 29</c:v>
                </c:pt>
                <c:pt idx="29">
                  <c:v>Anno 30</c:v>
                </c:pt>
                <c:pt idx="30">
                  <c:v>Anno 31</c:v>
                </c:pt>
              </c:strCache>
            </c:strRef>
          </c:cat>
          <c:val>
            <c:numRef>
              <c:f>Appoggio!$C$4:$AG$4</c:f>
              <c:numCache>
                <c:formatCode>#,##0\ ;\(#,##0\)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655-A644-9C31-4FCBF5A786C7}"/>
            </c:ext>
          </c:extLst>
        </c:ser>
        <c:ser>
          <c:idx val="4"/>
          <c:order val="2"/>
          <c:tx>
            <c:strRef>
              <c:f>Appoggio!$B$5</c:f>
              <c:strCache>
                <c:ptCount val="1"/>
                <c:pt idx="0">
                  <c:v>Debiti finanz. a breve
- Ipotesi "Ottimistica"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Appoggio!$C$1:$AG$1</c:f>
              <c:strCache>
                <c:ptCount val="31"/>
                <c:pt idx="0">
                  <c:v>Anno 1</c:v>
                </c:pt>
                <c:pt idx="1">
                  <c:v>Anno 2</c:v>
                </c:pt>
                <c:pt idx="2">
                  <c:v>Anno 3</c:v>
                </c:pt>
                <c:pt idx="3">
                  <c:v>Anno 4</c:v>
                </c:pt>
                <c:pt idx="4">
                  <c:v>Anno 5</c:v>
                </c:pt>
                <c:pt idx="5">
                  <c:v>Anno 6</c:v>
                </c:pt>
                <c:pt idx="6">
                  <c:v>Anno 7</c:v>
                </c:pt>
                <c:pt idx="7">
                  <c:v>Anno 8</c:v>
                </c:pt>
                <c:pt idx="8">
                  <c:v>Anno 9</c:v>
                </c:pt>
                <c:pt idx="9">
                  <c:v>Anno 10</c:v>
                </c:pt>
                <c:pt idx="10">
                  <c:v>Anno 11</c:v>
                </c:pt>
                <c:pt idx="11">
                  <c:v>Anno 12</c:v>
                </c:pt>
                <c:pt idx="12">
                  <c:v>Anno 13</c:v>
                </c:pt>
                <c:pt idx="13">
                  <c:v>Anno 14</c:v>
                </c:pt>
                <c:pt idx="14">
                  <c:v>Anno 15</c:v>
                </c:pt>
                <c:pt idx="15">
                  <c:v>Anno 16</c:v>
                </c:pt>
                <c:pt idx="16">
                  <c:v>Anno 17</c:v>
                </c:pt>
                <c:pt idx="17">
                  <c:v>Anno 18</c:v>
                </c:pt>
                <c:pt idx="18">
                  <c:v>Anno 19</c:v>
                </c:pt>
                <c:pt idx="19">
                  <c:v>Anno 20</c:v>
                </c:pt>
                <c:pt idx="20">
                  <c:v>Anno 21</c:v>
                </c:pt>
                <c:pt idx="21">
                  <c:v>Anno 22</c:v>
                </c:pt>
                <c:pt idx="22">
                  <c:v>Anno 23</c:v>
                </c:pt>
                <c:pt idx="23">
                  <c:v>Anno 24</c:v>
                </c:pt>
                <c:pt idx="24">
                  <c:v>Anno 25</c:v>
                </c:pt>
                <c:pt idx="25">
                  <c:v>Anno 26</c:v>
                </c:pt>
                <c:pt idx="26">
                  <c:v>Anno 27</c:v>
                </c:pt>
                <c:pt idx="27">
                  <c:v>Anno 28</c:v>
                </c:pt>
                <c:pt idx="28">
                  <c:v>Anno 29</c:v>
                </c:pt>
                <c:pt idx="29">
                  <c:v>Anno 30</c:v>
                </c:pt>
                <c:pt idx="30">
                  <c:v>Anno 31</c:v>
                </c:pt>
              </c:strCache>
            </c:strRef>
          </c:cat>
          <c:val>
            <c:numRef>
              <c:f>Appoggio!$C$5:$AG$5</c:f>
              <c:numCache>
                <c:formatCode>#,##0\ ;\(#,##0\)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655-A644-9C31-4FCBF5A786C7}"/>
            </c:ext>
          </c:extLst>
        </c:ser>
        <c:ser>
          <c:idx val="0"/>
          <c:order val="3"/>
          <c:tx>
            <c:strRef>
              <c:f>Appoggio!$B$6</c:f>
              <c:strCache>
                <c:ptCount val="1"/>
                <c:pt idx="0">
                  <c:v>Debiti finanziari
a medio-lungo termine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Appoggio!$C$1:$AG$1</c:f>
              <c:strCache>
                <c:ptCount val="31"/>
                <c:pt idx="0">
                  <c:v>Anno 1</c:v>
                </c:pt>
                <c:pt idx="1">
                  <c:v>Anno 2</c:v>
                </c:pt>
                <c:pt idx="2">
                  <c:v>Anno 3</c:v>
                </c:pt>
                <c:pt idx="3">
                  <c:v>Anno 4</c:v>
                </c:pt>
                <c:pt idx="4">
                  <c:v>Anno 5</c:v>
                </c:pt>
                <c:pt idx="5">
                  <c:v>Anno 6</c:v>
                </c:pt>
                <c:pt idx="6">
                  <c:v>Anno 7</c:v>
                </c:pt>
                <c:pt idx="7">
                  <c:v>Anno 8</c:v>
                </c:pt>
                <c:pt idx="8">
                  <c:v>Anno 9</c:v>
                </c:pt>
                <c:pt idx="9">
                  <c:v>Anno 10</c:v>
                </c:pt>
                <c:pt idx="10">
                  <c:v>Anno 11</c:v>
                </c:pt>
                <c:pt idx="11">
                  <c:v>Anno 12</c:v>
                </c:pt>
                <c:pt idx="12">
                  <c:v>Anno 13</c:v>
                </c:pt>
                <c:pt idx="13">
                  <c:v>Anno 14</c:v>
                </c:pt>
                <c:pt idx="14">
                  <c:v>Anno 15</c:v>
                </c:pt>
                <c:pt idx="15">
                  <c:v>Anno 16</c:v>
                </c:pt>
                <c:pt idx="16">
                  <c:v>Anno 17</c:v>
                </c:pt>
                <c:pt idx="17">
                  <c:v>Anno 18</c:v>
                </c:pt>
                <c:pt idx="18">
                  <c:v>Anno 19</c:v>
                </c:pt>
                <c:pt idx="19">
                  <c:v>Anno 20</c:v>
                </c:pt>
                <c:pt idx="20">
                  <c:v>Anno 21</c:v>
                </c:pt>
                <c:pt idx="21">
                  <c:v>Anno 22</c:v>
                </c:pt>
                <c:pt idx="22">
                  <c:v>Anno 23</c:v>
                </c:pt>
                <c:pt idx="23">
                  <c:v>Anno 24</c:v>
                </c:pt>
                <c:pt idx="24">
                  <c:v>Anno 25</c:v>
                </c:pt>
                <c:pt idx="25">
                  <c:v>Anno 26</c:v>
                </c:pt>
                <c:pt idx="26">
                  <c:v>Anno 27</c:v>
                </c:pt>
                <c:pt idx="27">
                  <c:v>Anno 28</c:v>
                </c:pt>
                <c:pt idx="28">
                  <c:v>Anno 29</c:v>
                </c:pt>
                <c:pt idx="29">
                  <c:v>Anno 30</c:v>
                </c:pt>
                <c:pt idx="30">
                  <c:v>Anno 31</c:v>
                </c:pt>
              </c:strCache>
            </c:strRef>
          </c:cat>
          <c:val>
            <c:numRef>
              <c:f>Appoggio!$C$6:$AG$6</c:f>
              <c:numCache>
                <c:formatCode>#,##0\ ;\(#,##0\)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655-A644-9C31-4FCBF5A786C7}"/>
            </c:ext>
          </c:extLst>
        </c:ser>
        <c:ser>
          <c:idx val="3"/>
          <c:order val="4"/>
          <c:tx>
            <c:strRef>
              <c:f>Appoggio!$B$7</c:f>
              <c:strCache>
                <c:ptCount val="1"/>
                <c:pt idx="0">
                  <c:v>Patr. netto
- Ipotesi "Base"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Appoggio!$C$1:$AG$1</c:f>
              <c:strCache>
                <c:ptCount val="31"/>
                <c:pt idx="0">
                  <c:v>Anno 1</c:v>
                </c:pt>
                <c:pt idx="1">
                  <c:v>Anno 2</c:v>
                </c:pt>
                <c:pt idx="2">
                  <c:v>Anno 3</c:v>
                </c:pt>
                <c:pt idx="3">
                  <c:v>Anno 4</c:v>
                </c:pt>
                <c:pt idx="4">
                  <c:v>Anno 5</c:v>
                </c:pt>
                <c:pt idx="5">
                  <c:v>Anno 6</c:v>
                </c:pt>
                <c:pt idx="6">
                  <c:v>Anno 7</c:v>
                </c:pt>
                <c:pt idx="7">
                  <c:v>Anno 8</c:v>
                </c:pt>
                <c:pt idx="8">
                  <c:v>Anno 9</c:v>
                </c:pt>
                <c:pt idx="9">
                  <c:v>Anno 10</c:v>
                </c:pt>
                <c:pt idx="10">
                  <c:v>Anno 11</c:v>
                </c:pt>
                <c:pt idx="11">
                  <c:v>Anno 12</c:v>
                </c:pt>
                <c:pt idx="12">
                  <c:v>Anno 13</c:v>
                </c:pt>
                <c:pt idx="13">
                  <c:v>Anno 14</c:v>
                </c:pt>
                <c:pt idx="14">
                  <c:v>Anno 15</c:v>
                </c:pt>
                <c:pt idx="15">
                  <c:v>Anno 16</c:v>
                </c:pt>
                <c:pt idx="16">
                  <c:v>Anno 17</c:v>
                </c:pt>
                <c:pt idx="17">
                  <c:v>Anno 18</c:v>
                </c:pt>
                <c:pt idx="18">
                  <c:v>Anno 19</c:v>
                </c:pt>
                <c:pt idx="19">
                  <c:v>Anno 20</c:v>
                </c:pt>
                <c:pt idx="20">
                  <c:v>Anno 21</c:v>
                </c:pt>
                <c:pt idx="21">
                  <c:v>Anno 22</c:v>
                </c:pt>
                <c:pt idx="22">
                  <c:v>Anno 23</c:v>
                </c:pt>
                <c:pt idx="23">
                  <c:v>Anno 24</c:v>
                </c:pt>
                <c:pt idx="24">
                  <c:v>Anno 25</c:v>
                </c:pt>
                <c:pt idx="25">
                  <c:v>Anno 26</c:v>
                </c:pt>
                <c:pt idx="26">
                  <c:v>Anno 27</c:v>
                </c:pt>
                <c:pt idx="27">
                  <c:v>Anno 28</c:v>
                </c:pt>
                <c:pt idx="28">
                  <c:v>Anno 29</c:v>
                </c:pt>
                <c:pt idx="29">
                  <c:v>Anno 30</c:v>
                </c:pt>
                <c:pt idx="30">
                  <c:v>Anno 31</c:v>
                </c:pt>
              </c:strCache>
            </c:strRef>
          </c:cat>
          <c:val>
            <c:numRef>
              <c:f>Appoggio!$C$7:$AG$7</c:f>
              <c:numCache>
                <c:formatCode>#,##0\ ;\(#,##0\)</c:formatCode>
                <c:ptCount val="31"/>
                <c:pt idx="0">
                  <c:v>196988.18159243811</c:v>
                </c:pt>
                <c:pt idx="1">
                  <c:v>469935.27020833699</c:v>
                </c:pt>
                <c:pt idx="2">
                  <c:v>494221.67225638265</c:v>
                </c:pt>
                <c:pt idx="3">
                  <c:v>520681.34767540288</c:v>
                </c:pt>
                <c:pt idx="4">
                  <c:v>549381.98412979674</c:v>
                </c:pt>
                <c:pt idx="5">
                  <c:v>598431.57307351602</c:v>
                </c:pt>
                <c:pt idx="6">
                  <c:v>649595.07319400168</c:v>
                </c:pt>
                <c:pt idx="7">
                  <c:v>702940.48485937179</c:v>
                </c:pt>
                <c:pt idx="8">
                  <c:v>758845.65899565758</c:v>
                </c:pt>
                <c:pt idx="9">
                  <c:v>817389.30942965555</c:v>
                </c:pt>
                <c:pt idx="10">
                  <c:v>878652.27828662994</c:v>
                </c:pt>
                <c:pt idx="11">
                  <c:v>942206.29608523508</c:v>
                </c:pt>
                <c:pt idx="12">
                  <c:v>1008125.146491165</c:v>
                </c:pt>
                <c:pt idx="13">
                  <c:v>1076995.9433532164</c:v>
                </c:pt>
                <c:pt idx="14">
                  <c:v>1148908.073358254</c:v>
                </c:pt>
                <c:pt idx="15">
                  <c:v>1223953.3228556612</c:v>
                </c:pt>
                <c:pt idx="16">
                  <c:v>1301552.1910219006</c:v>
                </c:pt>
                <c:pt idx="17">
                  <c:v>1381786.3215785434</c:v>
                </c:pt>
                <c:pt idx="18">
                  <c:v>1465413.3518592701</c:v>
                </c:pt>
                <c:pt idx="19">
                  <c:v>1552534.6005698489</c:v>
                </c:pt>
                <c:pt idx="20">
                  <c:v>1643300.6585083897</c:v>
                </c:pt>
                <c:pt idx="21">
                  <c:v>1737008.8301278814</c:v>
                </c:pt>
                <c:pt idx="22">
                  <c:v>1833705.8541217777</c:v>
                </c:pt>
                <c:pt idx="23">
                  <c:v>1934297.0836793839</c:v>
                </c:pt>
                <c:pt idx="24">
                  <c:v>2038897.3307783033</c:v>
                </c:pt>
                <c:pt idx="25">
                  <c:v>2147624.450465532</c:v>
                </c:pt>
                <c:pt idx="26">
                  <c:v>2259664.5281096348</c:v>
                </c:pt>
                <c:pt idx="27">
                  <c:v>2375120.7479363666</c:v>
                </c:pt>
                <c:pt idx="28">
                  <c:v>2495033.9893386671</c:v>
                </c:pt>
                <c:pt idx="29">
                  <c:v>2619534.107740168</c:v>
                </c:pt>
                <c:pt idx="30">
                  <c:v>2748754.3802946499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B655-A644-9C31-4FCBF5A786C7}"/>
            </c:ext>
          </c:extLst>
        </c:ser>
        <c:ser>
          <c:idx val="5"/>
          <c:order val="5"/>
          <c:tx>
            <c:strRef>
              <c:f>Appoggio!$B$8</c:f>
              <c:strCache>
                <c:ptCount val="1"/>
                <c:pt idx="0">
                  <c:v>Patr. Netto
- Ipotesi "Pessimistica"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Appoggio!$C$1:$AG$1</c:f>
              <c:strCache>
                <c:ptCount val="31"/>
                <c:pt idx="0">
                  <c:v>Anno 1</c:v>
                </c:pt>
                <c:pt idx="1">
                  <c:v>Anno 2</c:v>
                </c:pt>
                <c:pt idx="2">
                  <c:v>Anno 3</c:v>
                </c:pt>
                <c:pt idx="3">
                  <c:v>Anno 4</c:v>
                </c:pt>
                <c:pt idx="4">
                  <c:v>Anno 5</c:v>
                </c:pt>
                <c:pt idx="5">
                  <c:v>Anno 6</c:v>
                </c:pt>
                <c:pt idx="6">
                  <c:v>Anno 7</c:v>
                </c:pt>
                <c:pt idx="7">
                  <c:v>Anno 8</c:v>
                </c:pt>
                <c:pt idx="8">
                  <c:v>Anno 9</c:v>
                </c:pt>
                <c:pt idx="9">
                  <c:v>Anno 10</c:v>
                </c:pt>
                <c:pt idx="10">
                  <c:v>Anno 11</c:v>
                </c:pt>
                <c:pt idx="11">
                  <c:v>Anno 12</c:v>
                </c:pt>
                <c:pt idx="12">
                  <c:v>Anno 13</c:v>
                </c:pt>
                <c:pt idx="13">
                  <c:v>Anno 14</c:v>
                </c:pt>
                <c:pt idx="14">
                  <c:v>Anno 15</c:v>
                </c:pt>
                <c:pt idx="15">
                  <c:v>Anno 16</c:v>
                </c:pt>
                <c:pt idx="16">
                  <c:v>Anno 17</c:v>
                </c:pt>
                <c:pt idx="17">
                  <c:v>Anno 18</c:v>
                </c:pt>
                <c:pt idx="18">
                  <c:v>Anno 19</c:v>
                </c:pt>
                <c:pt idx="19">
                  <c:v>Anno 20</c:v>
                </c:pt>
                <c:pt idx="20">
                  <c:v>Anno 21</c:v>
                </c:pt>
                <c:pt idx="21">
                  <c:v>Anno 22</c:v>
                </c:pt>
                <c:pt idx="22">
                  <c:v>Anno 23</c:v>
                </c:pt>
                <c:pt idx="23">
                  <c:v>Anno 24</c:v>
                </c:pt>
                <c:pt idx="24">
                  <c:v>Anno 25</c:v>
                </c:pt>
                <c:pt idx="25">
                  <c:v>Anno 26</c:v>
                </c:pt>
                <c:pt idx="26">
                  <c:v>Anno 27</c:v>
                </c:pt>
                <c:pt idx="27">
                  <c:v>Anno 28</c:v>
                </c:pt>
                <c:pt idx="28">
                  <c:v>Anno 29</c:v>
                </c:pt>
                <c:pt idx="29">
                  <c:v>Anno 30</c:v>
                </c:pt>
                <c:pt idx="30">
                  <c:v>Anno 31</c:v>
                </c:pt>
              </c:strCache>
            </c:strRef>
          </c:cat>
          <c:val>
            <c:numRef>
              <c:f>Appoggio!$C$8:$AG$8</c:f>
              <c:numCache>
                <c:formatCode>#,##0\ ;\(#,##0\)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655-A644-9C31-4FCBF5A786C7}"/>
            </c:ext>
          </c:extLst>
        </c:ser>
        <c:ser>
          <c:idx val="6"/>
          <c:order val="6"/>
          <c:tx>
            <c:strRef>
              <c:f>Appoggio!$B$9</c:f>
              <c:strCache>
                <c:ptCount val="1"/>
                <c:pt idx="0">
                  <c:v>Patr. Netto
- Ipotesi "Ottimistica"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Appoggio!$C$1:$AG$1</c:f>
              <c:strCache>
                <c:ptCount val="31"/>
                <c:pt idx="0">
                  <c:v>Anno 1</c:v>
                </c:pt>
                <c:pt idx="1">
                  <c:v>Anno 2</c:v>
                </c:pt>
                <c:pt idx="2">
                  <c:v>Anno 3</c:v>
                </c:pt>
                <c:pt idx="3">
                  <c:v>Anno 4</c:v>
                </c:pt>
                <c:pt idx="4">
                  <c:v>Anno 5</c:v>
                </c:pt>
                <c:pt idx="5">
                  <c:v>Anno 6</c:v>
                </c:pt>
                <c:pt idx="6">
                  <c:v>Anno 7</c:v>
                </c:pt>
                <c:pt idx="7">
                  <c:v>Anno 8</c:v>
                </c:pt>
                <c:pt idx="8">
                  <c:v>Anno 9</c:v>
                </c:pt>
                <c:pt idx="9">
                  <c:v>Anno 10</c:v>
                </c:pt>
                <c:pt idx="10">
                  <c:v>Anno 11</c:v>
                </c:pt>
                <c:pt idx="11">
                  <c:v>Anno 12</c:v>
                </c:pt>
                <c:pt idx="12">
                  <c:v>Anno 13</c:v>
                </c:pt>
                <c:pt idx="13">
                  <c:v>Anno 14</c:v>
                </c:pt>
                <c:pt idx="14">
                  <c:v>Anno 15</c:v>
                </c:pt>
                <c:pt idx="15">
                  <c:v>Anno 16</c:v>
                </c:pt>
                <c:pt idx="16">
                  <c:v>Anno 17</c:v>
                </c:pt>
                <c:pt idx="17">
                  <c:v>Anno 18</c:v>
                </c:pt>
                <c:pt idx="18">
                  <c:v>Anno 19</c:v>
                </c:pt>
                <c:pt idx="19">
                  <c:v>Anno 20</c:v>
                </c:pt>
                <c:pt idx="20">
                  <c:v>Anno 21</c:v>
                </c:pt>
                <c:pt idx="21">
                  <c:v>Anno 22</c:v>
                </c:pt>
                <c:pt idx="22">
                  <c:v>Anno 23</c:v>
                </c:pt>
                <c:pt idx="23">
                  <c:v>Anno 24</c:v>
                </c:pt>
                <c:pt idx="24">
                  <c:v>Anno 25</c:v>
                </c:pt>
                <c:pt idx="25">
                  <c:v>Anno 26</c:v>
                </c:pt>
                <c:pt idx="26">
                  <c:v>Anno 27</c:v>
                </c:pt>
                <c:pt idx="27">
                  <c:v>Anno 28</c:v>
                </c:pt>
                <c:pt idx="28">
                  <c:v>Anno 29</c:v>
                </c:pt>
                <c:pt idx="29">
                  <c:v>Anno 30</c:v>
                </c:pt>
                <c:pt idx="30">
                  <c:v>Anno 31</c:v>
                </c:pt>
              </c:strCache>
            </c:strRef>
          </c:cat>
          <c:val>
            <c:numRef>
              <c:f>Appoggio!$C$9:$AG$9</c:f>
              <c:numCache>
                <c:formatCode>#,##0\ ;\(#,##0\)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655-A644-9C31-4FCBF5A78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970623"/>
        <c:axId val="1"/>
      </c:lineChart>
      <c:catAx>
        <c:axId val="1291970623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1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it-IT"/>
                  <a:t>Stagione invernale</a:t>
                </a:r>
              </a:p>
            </c:rich>
          </c:tx>
          <c:layout>
            <c:manualLayout>
              <c:xMode val="edge"/>
              <c:yMode val="edge"/>
              <c:x val="0.36658934595267906"/>
              <c:y val="0.95464849205170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1" i="1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1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it-IT"/>
                  <a:t>Importi in Euro/'000</a:t>
                </a:r>
              </a:p>
            </c:rich>
          </c:tx>
          <c:layout>
            <c:manualLayout>
              <c:xMode val="edge"/>
              <c:yMode val="edge"/>
              <c:x val="0"/>
              <c:y val="0.376417174268310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1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it-IT"/>
          </a:p>
        </c:txPr>
        <c:crossAx val="1291970623"/>
        <c:crosses val="autoZero"/>
        <c:crossBetween val="between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87958192101615"/>
          <c:y val="7.939503788441539E-2"/>
          <c:w val="0.20680629651477234"/>
          <c:h val="0.7769376021393552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75" b="1" i="1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1" i="1" u="none" strike="noStrike" baseline="0">
          <a:solidFill>
            <a:srgbClr val="000000"/>
          </a:solidFill>
          <a:latin typeface="Comic Sans MS"/>
          <a:ea typeface="Comic Sans MS"/>
          <a:cs typeface="Comic Sans MS"/>
        </a:defRPr>
      </a:pPr>
      <a:endParaRPr lang="it-IT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8EE401E-85BF-D641-8FFE-9C6DCA83BE3B}">
  <sheetPr/>
  <sheetViews>
    <sheetView zoomScale="70" workbookViewId="0"/>
  </sheetViews>
  <pageMargins left="0.39370078740157483" right="0.39370078740157483" top="0.39370078740157483" bottom="0.39370078740157483" header="0.51181102362204722" footer="0.51181102362204722"/>
  <pageSetup paperSize="9" orientation="landscape" horizontalDpi="300" verticalDpi="30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867900" cy="673100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8C82013-AD7C-6185-CDEB-DADDD2B21E2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llegamen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nt14/Commons/lavoro/fastweb/composizioni/listini%20fast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legamento"/>
      <sheetName val="Verde Bosco s.r.l"/>
      <sheetName val="Calcolo finanziamento"/>
      <sheetName val="demographics"/>
      <sheetName val="#RIF"/>
      <sheetName val="Investimenti e Costi"/>
      <sheetName val="MSH11C SE's"/>
      <sheetName val="MSH51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H51C"/>
      <sheetName val="MSH11CP"/>
      <sheetName val="MSH11C "/>
      <sheetName val="MSH41C"/>
      <sheetName val="SMA16"/>
      <sheetName val="MSH53"/>
      <sheetName val="MSH64"/>
      <sheetName val="MSH63 "/>
      <sheetName val="MSH84"/>
      <sheetName val="MSH86"/>
      <sheetName val="mv3638"/>
      <sheetName val="em-os"/>
      <sheetName val="Foglio1"/>
      <sheetName val="Foglio2"/>
      <sheetName val="Foglio3"/>
    </sheetNames>
    <sheetDataSet>
      <sheetData sheetId="0">
        <row r="11">
          <cell r="D11" t="str">
            <v>Telaio cablato (2200 x 600 x 300 mm)</v>
          </cell>
          <cell r="E11" t="str">
            <v>available</v>
          </cell>
          <cell r="F11">
            <v>1</v>
          </cell>
          <cell r="G11" t="str">
            <v>490-4561/01</v>
          </cell>
          <cell r="H11" t="str">
            <v>332-0224/01</v>
          </cell>
        </row>
        <row r="12">
          <cell r="D12" t="str">
            <v>Unità allarmi telaio Tipo B</v>
          </cell>
          <cell r="E12" t="str">
            <v>available</v>
          </cell>
          <cell r="F12">
            <v>1</v>
          </cell>
          <cell r="G12" t="str">
            <v>490-8225/04</v>
          </cell>
          <cell r="H12" t="str">
            <v>131-6829/02</v>
          </cell>
        </row>
        <row r="13">
          <cell r="D13" t="str">
            <v>Kit installazione telaio</v>
          </cell>
          <cell r="E13" t="str">
            <v>available</v>
          </cell>
          <cell r="F13">
            <v>1</v>
          </cell>
          <cell r="G13" t="str">
            <v>490-3261/01</v>
          </cell>
          <cell r="H13" t="str">
            <v>131-6916/01</v>
          </cell>
        </row>
        <row r="17">
          <cell r="D17" t="str">
            <v>Subtelaio assemblato</v>
          </cell>
          <cell r="E17" t="str">
            <v>available</v>
          </cell>
          <cell r="F17">
            <v>1</v>
          </cell>
          <cell r="G17" t="str">
            <v>490-9939/01</v>
          </cell>
          <cell r="H17" t="str">
            <v>133-1394/02</v>
          </cell>
        </row>
        <row r="18">
          <cell r="D18" t="str">
            <v>Kit installazione subtelaio</v>
          </cell>
          <cell r="E18" t="str">
            <v>available</v>
          </cell>
          <cell r="F18">
            <v>1</v>
          </cell>
          <cell r="G18" t="str">
            <v>490-8465/01</v>
          </cell>
          <cell r="H18" t="str">
            <v>131-6926/02</v>
          </cell>
        </row>
        <row r="19">
          <cell r="D19" t="str">
            <v>Unita` End of shelf</v>
          </cell>
          <cell r="E19" t="str">
            <v>available</v>
          </cell>
          <cell r="F19">
            <v>1</v>
          </cell>
          <cell r="G19" t="str">
            <v>490-9630/02</v>
          </cell>
          <cell r="H19" t="str">
            <v>131-8760/02</v>
          </cell>
        </row>
        <row r="20">
          <cell r="D20" t="str">
            <v>Unita` matrice</v>
          </cell>
          <cell r="E20" t="str">
            <v>available</v>
          </cell>
          <cell r="F20">
            <v>1</v>
          </cell>
          <cell r="G20" t="str">
            <v>491-0666/01</v>
          </cell>
          <cell r="H20" t="str">
            <v>131-8822/02</v>
          </cell>
        </row>
        <row r="21">
          <cell r="D21" t="str">
            <v>Unita` di controllo e comunicazione con Int.Q (tipo B)</v>
          </cell>
          <cell r="E21" t="str">
            <v>available</v>
          </cell>
          <cell r="F21">
            <v>1</v>
          </cell>
          <cell r="G21" t="str">
            <v>490-7953/02</v>
          </cell>
          <cell r="H21" t="str">
            <v>131-8679/02</v>
          </cell>
        </row>
        <row r="22">
          <cell r="D22" t="str">
            <v>Modulo I/F per POWER SUPPLY</v>
          </cell>
          <cell r="E22" t="str">
            <v>available</v>
          </cell>
          <cell r="F22">
            <v>1</v>
          </cell>
          <cell r="G22" t="str">
            <v>490-5385/01</v>
          </cell>
          <cell r="H22" t="str">
            <v>131-9072/01</v>
          </cell>
        </row>
        <row r="23">
          <cell r="D23" t="str">
            <v>Modulo I/F per allarmi e F I/f</v>
          </cell>
          <cell r="E23" t="str">
            <v>available</v>
          </cell>
          <cell r="F23">
            <v>1</v>
          </cell>
          <cell r="G23" t="str">
            <v>490-5386/01</v>
          </cell>
          <cell r="H23" t="str">
            <v>131-9071/01</v>
          </cell>
        </row>
        <row r="24">
          <cell r="D24" t="str">
            <v>Modulo I/F per POWER SUPPLY e Q (UTP ETHERNET)</v>
          </cell>
          <cell r="E24" t="str">
            <v>available</v>
          </cell>
          <cell r="F24">
            <v>1</v>
          </cell>
          <cell r="G24" t="str">
            <v>490-5743/01</v>
          </cell>
          <cell r="H24" t="str">
            <v>131-9072/04</v>
          </cell>
        </row>
        <row r="25">
          <cell r="D25" t="str">
            <v>Modulo interfaccia sincronizzazione</v>
          </cell>
          <cell r="E25" t="str">
            <v>available</v>
          </cell>
          <cell r="F25">
            <v>1</v>
          </cell>
          <cell r="G25" t="str">
            <v>490-5389/01</v>
          </cell>
          <cell r="H25" t="str">
            <v>131-9069/01</v>
          </cell>
        </row>
        <row r="26">
          <cell r="D26" t="str">
            <v>Set connettori per subtelaio</v>
          </cell>
          <cell r="E26" t="str">
            <v>available</v>
          </cell>
          <cell r="F26">
            <v>1</v>
          </cell>
          <cell r="G26" t="str">
            <v>490-8489/02</v>
          </cell>
          <cell r="H26" t="str">
            <v>131-9312/01</v>
          </cell>
        </row>
        <row r="27">
          <cell r="D27" t="str">
            <v>Copertura sostitutiva modulo interfaccia</v>
          </cell>
          <cell r="E27" t="str">
            <v>available</v>
          </cell>
          <cell r="F27">
            <v>2</v>
          </cell>
          <cell r="G27" t="str">
            <v>490-4771/01</v>
          </cell>
          <cell r="H27" t="str">
            <v>331-2300/01</v>
          </cell>
        </row>
        <row r="62">
          <cell r="D62" t="str">
            <v>Unita` 4xSTM-1 elettrica/140Mb/s</v>
          </cell>
          <cell r="E62" t="str">
            <v>available</v>
          </cell>
          <cell r="F62">
            <v>1</v>
          </cell>
          <cell r="G62" t="str">
            <v>491-0815/01</v>
          </cell>
          <cell r="H62" t="str">
            <v>131-9122/02</v>
          </cell>
        </row>
        <row r="63">
          <cell r="D63" t="str">
            <v>Modulo Interfaccia per unita` 4x140/155Mb/s</v>
          </cell>
          <cell r="E63" t="str">
            <v>available</v>
          </cell>
          <cell r="F63">
            <v>1</v>
          </cell>
          <cell r="G63" t="str">
            <v>490-5393/01</v>
          </cell>
          <cell r="H63" t="str">
            <v>131-9067/01</v>
          </cell>
        </row>
        <row r="64">
          <cell r="D64" t="str">
            <v>Set connettori per 1x140/155Mb/s</v>
          </cell>
          <cell r="E64" t="str">
            <v>available</v>
          </cell>
          <cell r="F64">
            <v>4</v>
          </cell>
          <cell r="G64" t="str">
            <v>490-3288/01</v>
          </cell>
          <cell r="H64" t="str">
            <v>131-6925/03</v>
          </cell>
        </row>
        <row r="66">
          <cell r="D66" t="str">
            <v>Unita` 4xSTM-1 elettrica/140Mb/s</v>
          </cell>
          <cell r="E66" t="str">
            <v>available</v>
          </cell>
          <cell r="F66">
            <v>1</v>
          </cell>
          <cell r="G66" t="str">
            <v>491-0815/01</v>
          </cell>
          <cell r="H66" t="str">
            <v>131-9122/02</v>
          </cell>
        </row>
        <row r="67">
          <cell r="D67" t="str">
            <v>Modulo Interfaccia per unita` 4x140/155Mb/s protegg.</v>
          </cell>
          <cell r="E67" t="str">
            <v>available</v>
          </cell>
          <cell r="F67">
            <v>1</v>
          </cell>
          <cell r="G67" t="str">
            <v>490-5745/01</v>
          </cell>
          <cell r="H67" t="str">
            <v>131-8978/01</v>
          </cell>
        </row>
        <row r="68">
          <cell r="D68" t="str">
            <v>Set connettori per 1x140/155Mb/s</v>
          </cell>
          <cell r="E68" t="str">
            <v>available</v>
          </cell>
          <cell r="F68">
            <v>4</v>
          </cell>
          <cell r="G68" t="str">
            <v>490-3288/01</v>
          </cell>
          <cell r="H68" t="str">
            <v>131-6925/03</v>
          </cell>
        </row>
        <row r="70">
          <cell r="D70" t="str">
            <v>Unita` 4xSTM-1 elettrica/140Mb/s</v>
          </cell>
          <cell r="E70" t="str">
            <v>available</v>
          </cell>
          <cell r="F70">
            <v>1</v>
          </cell>
          <cell r="G70" t="str">
            <v>491-0815/01</v>
          </cell>
          <cell r="H70" t="str">
            <v>131-9122/02</v>
          </cell>
        </row>
        <row r="71">
          <cell r="D71" t="str">
            <v>Modulo protezione 2x140/155Mb/s</v>
          </cell>
          <cell r="E71" t="str">
            <v>available</v>
          </cell>
          <cell r="F71">
            <v>2</v>
          </cell>
          <cell r="G71" t="str">
            <v>490-8538/01</v>
          </cell>
          <cell r="H71" t="str">
            <v>131-8979/01</v>
          </cell>
        </row>
        <row r="73">
          <cell r="D73" t="str">
            <v>Unita` 4xSTM-1 elettrica/140Mb/s</v>
          </cell>
          <cell r="E73" t="str">
            <v>available</v>
          </cell>
          <cell r="F73">
            <v>1</v>
          </cell>
          <cell r="G73" t="str">
            <v>491-0815/01</v>
          </cell>
          <cell r="H73" t="str">
            <v>131-9122/02</v>
          </cell>
        </row>
        <row r="74">
          <cell r="D74" t="str">
            <v>Modulo Interfaccia per unita` 2x140/155Mb/s</v>
          </cell>
          <cell r="E74" t="str">
            <v>available</v>
          </cell>
          <cell r="F74">
            <v>2</v>
          </cell>
          <cell r="G74" t="str">
            <v>490-8536/01</v>
          </cell>
          <cell r="H74" t="str">
            <v>131-9067/02</v>
          </cell>
        </row>
        <row r="75">
          <cell r="D75" t="str">
            <v>Set connettori per 1x140/155Mb/s</v>
          </cell>
          <cell r="E75" t="str">
            <v>available</v>
          </cell>
          <cell r="F75">
            <v>4</v>
          </cell>
          <cell r="G75" t="str">
            <v>490-3288/01</v>
          </cell>
          <cell r="H75" t="str">
            <v>131-6925/03</v>
          </cell>
        </row>
        <row r="92">
          <cell r="D92" t="str">
            <v>Unita' ausiliaria</v>
          </cell>
          <cell r="E92" t="str">
            <v>available</v>
          </cell>
          <cell r="F92">
            <v>1</v>
          </cell>
          <cell r="G92" t="str">
            <v>490-5021/01</v>
          </cell>
          <cell r="H92" t="str">
            <v>131-8690/01</v>
          </cell>
        </row>
        <row r="93">
          <cell r="D93" t="str">
            <v>Modulo di interfaccia ausiliaria (ty A)</v>
          </cell>
          <cell r="E93" t="str">
            <v>available</v>
          </cell>
          <cell r="F93">
            <v>1</v>
          </cell>
          <cell r="G93" t="str">
            <v>490-5390/01</v>
          </cell>
          <cell r="H93" t="str">
            <v>131-9068/01</v>
          </cell>
        </row>
        <row r="94">
          <cell r="D94" t="str">
            <v>Set connettori per unita' ausiliaria</v>
          </cell>
          <cell r="E94" t="str">
            <v>available</v>
          </cell>
          <cell r="F94">
            <v>1</v>
          </cell>
          <cell r="G94" t="str">
            <v>490-9216/01</v>
          </cell>
          <cell r="H94" t="str">
            <v>131-9313/01</v>
          </cell>
        </row>
        <row r="122">
          <cell r="D122" t="str">
            <v>Personal computer (portatile)</v>
          </cell>
          <cell r="E122" t="str">
            <v>available</v>
          </cell>
          <cell r="F122">
            <v>1</v>
          </cell>
          <cell r="G122" t="str">
            <v>491-3764/01</v>
          </cell>
          <cell r="I122" t="str">
            <v>a)</v>
          </cell>
        </row>
        <row r="123">
          <cell r="D123" t="str">
            <v>Cavo seriale e connettore</v>
          </cell>
          <cell r="E123" t="str">
            <v>available</v>
          </cell>
          <cell r="F123">
            <v>1</v>
          </cell>
          <cell r="G123" t="str">
            <v>490-4993/01</v>
          </cell>
          <cell r="I123" t="str">
            <v>b)</v>
          </cell>
        </row>
        <row r="124">
          <cell r="D124" t="str">
            <v>Sistema operativo (NT.4)</v>
          </cell>
          <cell r="E124" t="str">
            <v>available</v>
          </cell>
          <cell r="F124">
            <v>1</v>
          </cell>
          <cell r="G124" t="str">
            <v>491-0722/01</v>
          </cell>
          <cell r="I124" t="str">
            <v>c)</v>
          </cell>
        </row>
        <row r="177">
          <cell r="B177" t="str">
            <v xml:space="preserve"> NOTE</v>
          </cell>
        </row>
        <row r="178">
          <cell r="B178" t="str">
            <v>a)</v>
          </cell>
          <cell r="C178" t="str">
            <v xml:space="preserve"> Pentium 200MMX nella seguente configurazione</v>
          </cell>
        </row>
        <row r="179">
          <cell r="C179" t="str">
            <v xml:space="preserve">    -  PENTIUM (minimum 75Mhz) (produced by international manufacturer (e.g.TOSHIBA, COMPAQ, AST))</v>
          </cell>
        </row>
        <row r="180">
          <cell r="C180" t="str">
            <v xml:space="preserve">   - 10" COLOR MONITOR (resolution 800x600)</v>
          </cell>
        </row>
        <row r="181">
          <cell r="C181" t="str">
            <v xml:space="preserve">    - SVGA GRAPHICAL ADAPTER 1024x768 resolution 256 colors with external output</v>
          </cell>
        </row>
        <row r="182">
          <cell r="C182" t="str">
            <v xml:space="preserve">   - 32 MBYTES RAM (minimum)</v>
          </cell>
        </row>
        <row r="183">
          <cell r="C183" t="str">
            <v xml:space="preserve">    - 1GIGABYTES HARD DISK (minimum) </v>
          </cell>
        </row>
        <row r="184">
          <cell r="C184" t="str">
            <v xml:space="preserve">    - 3.5" FLOPPY DISK DRIVER</v>
          </cell>
        </row>
        <row r="185">
          <cell r="C185" t="str">
            <v xml:space="preserve">    - CD ROM Drive</v>
          </cell>
        </row>
        <row r="186">
          <cell r="C186" t="str">
            <v xml:space="preserve">    - n. 1 SERIAL INTERFACE RS232 (9 pin, at least 19200 bps)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933CB-529F-7D49-9F6F-4E4425DD5B95}">
  <dimension ref="A2:C49"/>
  <sheetViews>
    <sheetView workbookViewId="0">
      <selection activeCell="B49" sqref="B49"/>
    </sheetView>
  </sheetViews>
  <sheetFormatPr defaultColWidth="8.85546875" defaultRowHeight="12.75"/>
  <cols>
    <col min="1" max="1" width="40.28515625" bestFit="1" customWidth="1"/>
    <col min="2" max="2" width="10" bestFit="1" customWidth="1"/>
  </cols>
  <sheetData>
    <row r="2" spans="1:3">
      <c r="B2" s="318" t="s">
        <v>144</v>
      </c>
      <c r="C2" s="318"/>
    </row>
    <row r="3" spans="1:3">
      <c r="A3" t="s">
        <v>0</v>
      </c>
      <c r="B3" s="321">
        <f>Ipotesi!C31</f>
        <v>0</v>
      </c>
    </row>
    <row r="4" spans="1:3">
      <c r="A4" t="s">
        <v>141</v>
      </c>
      <c r="B4" s="321">
        <f>Ipotesi!C32</f>
        <v>0</v>
      </c>
    </row>
    <row r="5" spans="1:3" s="316" customFormat="1">
      <c r="A5" s="316" t="s">
        <v>75</v>
      </c>
      <c r="B5" s="322">
        <f>SUM(B3:B4)</f>
        <v>0</v>
      </c>
    </row>
    <row r="8" spans="1:3">
      <c r="A8" s="316" t="s">
        <v>72</v>
      </c>
      <c r="B8" s="318"/>
      <c r="C8" s="318"/>
    </row>
    <row r="9" spans="1:3">
      <c r="A9" s="316" t="s">
        <v>255</v>
      </c>
      <c r="B9" s="318" t="s">
        <v>265</v>
      </c>
    </row>
    <row r="10" spans="1:3" s="317" customFormat="1">
      <c r="A10" s="317" t="s">
        <v>256</v>
      </c>
      <c r="B10" s="319">
        <v>5.0000000000000001E-3</v>
      </c>
    </row>
    <row r="11" spans="1:3" s="317" customFormat="1">
      <c r="A11" s="317" t="s">
        <v>257</v>
      </c>
      <c r="B11" s="319">
        <v>0.02</v>
      </c>
    </row>
    <row r="12" spans="1:3" s="317" customFormat="1">
      <c r="A12" s="317" t="s">
        <v>258</v>
      </c>
      <c r="B12" s="319">
        <v>1.2999999999999999E-2</v>
      </c>
    </row>
    <row r="13" spans="1:3" s="317" customFormat="1">
      <c r="A13" s="317" t="s">
        <v>259</v>
      </c>
      <c r="B13" s="319">
        <v>1.7000000000000001E-2</v>
      </c>
    </row>
    <row r="14" spans="1:3" s="317" customFormat="1">
      <c r="A14" s="317" t="s">
        <v>260</v>
      </c>
      <c r="B14" s="319">
        <v>8.0000000000000002E-3</v>
      </c>
    </row>
    <row r="15" spans="1:3" s="317" customFormat="1">
      <c r="A15" s="317" t="s">
        <v>261</v>
      </c>
      <c r="B15" s="319">
        <v>2E-3</v>
      </c>
    </row>
    <row r="16" spans="1:3" s="317" customFormat="1">
      <c r="A16" s="317" t="s">
        <v>262</v>
      </c>
      <c r="B16" s="319">
        <v>0.01</v>
      </c>
    </row>
    <row r="17" spans="1:3" s="317" customFormat="1">
      <c r="A17" s="317" t="s">
        <v>263</v>
      </c>
      <c r="B17" s="319">
        <v>5.0000000000000001E-3</v>
      </c>
    </row>
    <row r="18" spans="1:3" s="317" customFormat="1">
      <c r="A18" s="317" t="s">
        <v>264</v>
      </c>
      <c r="B18" s="319">
        <v>0.02</v>
      </c>
    </row>
    <row r="19" spans="1:3" s="316" customFormat="1">
      <c r="A19" s="316" t="s">
        <v>75</v>
      </c>
      <c r="B19" s="320">
        <f>SUM(B10:B18)</f>
        <v>0.1</v>
      </c>
    </row>
    <row r="21" spans="1:3">
      <c r="A21" s="317" t="s">
        <v>267</v>
      </c>
    </row>
    <row r="22" spans="1:3">
      <c r="A22" s="317" t="s">
        <v>269</v>
      </c>
      <c r="B22" s="319">
        <v>2.5000000000000001E-2</v>
      </c>
    </row>
    <row r="23" spans="1:3">
      <c r="A23" s="317" t="s">
        <v>268</v>
      </c>
      <c r="B23" s="319">
        <v>2.5000000000000001E-2</v>
      </c>
    </row>
    <row r="27" spans="1:3">
      <c r="A27" s="316" t="s">
        <v>72</v>
      </c>
      <c r="B27" s="318"/>
      <c r="C27" s="318"/>
    </row>
    <row r="28" spans="1:3">
      <c r="A28" s="316" t="s">
        <v>255</v>
      </c>
      <c r="B28" s="318" t="s">
        <v>266</v>
      </c>
    </row>
    <row r="29" spans="1:3">
      <c r="A29" s="317" t="s">
        <v>256</v>
      </c>
      <c r="B29" s="323">
        <f t="shared" ref="B29:B37" si="0">B10*B$5</f>
        <v>0</v>
      </c>
    </row>
    <row r="30" spans="1:3">
      <c r="A30" s="317" t="s">
        <v>257</v>
      </c>
      <c r="B30" s="323">
        <f t="shared" si="0"/>
        <v>0</v>
      </c>
    </row>
    <row r="31" spans="1:3">
      <c r="A31" s="317" t="s">
        <v>258</v>
      </c>
      <c r="B31" s="323">
        <f t="shared" si="0"/>
        <v>0</v>
      </c>
    </row>
    <row r="32" spans="1:3">
      <c r="A32" s="317" t="s">
        <v>259</v>
      </c>
      <c r="B32" s="323">
        <f t="shared" si="0"/>
        <v>0</v>
      </c>
    </row>
    <row r="33" spans="1:2">
      <c r="A33" s="317" t="s">
        <v>260</v>
      </c>
      <c r="B33" s="323">
        <f t="shared" si="0"/>
        <v>0</v>
      </c>
    </row>
    <row r="34" spans="1:2">
      <c r="A34" s="317" t="s">
        <v>261</v>
      </c>
      <c r="B34" s="323">
        <f t="shared" si="0"/>
        <v>0</v>
      </c>
    </row>
    <row r="35" spans="1:2">
      <c r="A35" s="317" t="s">
        <v>262</v>
      </c>
      <c r="B35" s="323">
        <f t="shared" si="0"/>
        <v>0</v>
      </c>
    </row>
    <row r="36" spans="1:2">
      <c r="A36" s="317" t="s">
        <v>263</v>
      </c>
      <c r="B36" s="323">
        <f t="shared" si="0"/>
        <v>0</v>
      </c>
    </row>
    <row r="37" spans="1:2">
      <c r="A37" s="317" t="s">
        <v>264</v>
      </c>
      <c r="B37" s="323">
        <f t="shared" si="0"/>
        <v>0</v>
      </c>
    </row>
    <row r="38" spans="1:2">
      <c r="A38" s="316" t="s">
        <v>75</v>
      </c>
      <c r="B38" s="324">
        <f>SUM(B29:B37)</f>
        <v>0</v>
      </c>
    </row>
    <row r="40" spans="1:2">
      <c r="A40" s="316" t="s">
        <v>267</v>
      </c>
      <c r="B40" s="318" t="s">
        <v>266</v>
      </c>
    </row>
    <row r="41" spans="1:2">
      <c r="A41" s="317" t="s">
        <v>269</v>
      </c>
      <c r="B41" s="323">
        <f>+B$5*B22</f>
        <v>0</v>
      </c>
    </row>
    <row r="42" spans="1:2">
      <c r="A42" s="317" t="s">
        <v>268</v>
      </c>
      <c r="B42" s="323">
        <f>+B$5*B23</f>
        <v>0</v>
      </c>
    </row>
    <row r="43" spans="1:2">
      <c r="A43" s="316" t="s">
        <v>270</v>
      </c>
      <c r="B43" s="325">
        <f>SUM(B41:B42)</f>
        <v>0</v>
      </c>
    </row>
    <row r="45" spans="1:2">
      <c r="A45" s="316" t="s">
        <v>271</v>
      </c>
      <c r="B45" s="325">
        <f>+B38+B43</f>
        <v>0</v>
      </c>
    </row>
    <row r="49" spans="1:2">
      <c r="A49" s="341" t="s">
        <v>293</v>
      </c>
      <c r="B49" s="341"/>
    </row>
  </sheetData>
  <phoneticPr fontId="18" type="noConversion"/>
  <pageMargins left="0.75" right="0.75" top="1" bottom="1" header="0.5" footer="0.5"/>
  <pageSetup paperSize="9" orientation="portrait" horizontalDpi="0" verticalDpi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7ADD1-94BE-5643-847C-9035312E83DC}">
  <sheetPr codeName="Foglio3">
    <pageSetUpPr fitToPage="1"/>
  </sheetPr>
  <dimension ref="A1:AK823"/>
  <sheetViews>
    <sheetView showGridLines="0" zoomScale="85" zoomScaleNormal="85" workbookViewId="0">
      <pane xSplit="1" ySplit="4" topLeftCell="E5" activePane="bottomRight" state="frozen"/>
      <selection activeCell="V21" sqref="V21"/>
      <selection pane="topRight" activeCell="V21" sqref="V21"/>
      <selection pane="bottomLeft" activeCell="V21" sqref="V21"/>
      <selection pane="bottomRight" activeCell="A3" sqref="A3:X38"/>
    </sheetView>
  </sheetViews>
  <sheetFormatPr defaultColWidth="8.140625" defaultRowHeight="16.5" outlineLevelRow="1" outlineLevelCol="1"/>
  <cols>
    <col min="1" max="1" width="57" style="10" customWidth="1"/>
    <col min="2" max="2" width="10.140625" style="10" hidden="1" customWidth="1" outlineLevel="1"/>
    <col min="3" max="4" width="8.42578125" style="10" hidden="1" customWidth="1" outlineLevel="1"/>
    <col min="5" max="5" width="10.140625" style="10" customWidth="1" collapsed="1"/>
    <col min="6" max="24" width="10.140625" style="10" customWidth="1"/>
    <col min="25" max="26" width="10.42578125" style="10" bestFit="1" customWidth="1" outlineLevel="1"/>
    <col min="27" max="27" width="10.28515625" style="10" bestFit="1" customWidth="1" outlineLevel="1"/>
    <col min="28" max="29" width="10.42578125" style="10" bestFit="1" customWidth="1" outlineLevel="1"/>
    <col min="30" max="30" width="10.28515625" style="10" bestFit="1" customWidth="1" outlineLevel="1"/>
    <col min="31" max="33" width="10.42578125" style="10" bestFit="1" customWidth="1" outlineLevel="1"/>
    <col min="34" max="34" width="10.28515625" style="10" bestFit="1" customWidth="1" outlineLevel="1"/>
    <col min="35" max="35" width="10.42578125" style="10" bestFit="1" customWidth="1" outlineLevel="1"/>
    <col min="36" max="36" width="1.7109375" style="10" customWidth="1"/>
    <col min="37" max="37" width="4.7109375" style="261" customWidth="1"/>
    <col min="38" max="16384" width="8.140625" style="10"/>
  </cols>
  <sheetData>
    <row r="1" spans="1:37" ht="17.25" customHeigh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K1" s="529">
        <f>IF(Ipotesi!$C$12=10%,"Conto Economico - ipotesi ''BASE''",IF(Ipotesi!$C$12=4%,"Conto Economico - ipotesi ''PESSIMISTICA''",IF(Ipotesi!$C$12=13%,"Conto Economico - ipotesi ''OTTIMISTICA''",0)))</f>
        <v>0</v>
      </c>
    </row>
    <row r="2" spans="1:37" ht="3" customHeight="1">
      <c r="AK2" s="529"/>
    </row>
    <row r="3" spans="1:37" s="2" customFormat="1" ht="18" customHeight="1">
      <c r="A3" s="11" t="s">
        <v>910</v>
      </c>
      <c r="B3" s="276" t="s">
        <v>180</v>
      </c>
      <c r="C3" s="276" t="s">
        <v>179</v>
      </c>
      <c r="D3" s="276" t="s">
        <v>178</v>
      </c>
      <c r="E3" s="276" t="s">
        <v>144</v>
      </c>
      <c r="F3" s="276" t="s">
        <v>145</v>
      </c>
      <c r="G3" s="276" t="s">
        <v>146</v>
      </c>
      <c r="H3" s="276" t="s">
        <v>147</v>
      </c>
      <c r="I3" s="276" t="s">
        <v>148</v>
      </c>
      <c r="J3" s="276" t="s">
        <v>149</v>
      </c>
      <c r="K3" s="276" t="s">
        <v>150</v>
      </c>
      <c r="L3" s="276" t="s">
        <v>151</v>
      </c>
      <c r="M3" s="276" t="s">
        <v>152</v>
      </c>
      <c r="N3" s="276" t="s">
        <v>153</v>
      </c>
      <c r="O3" s="276" t="s">
        <v>154</v>
      </c>
      <c r="P3" s="276" t="s">
        <v>155</v>
      </c>
      <c r="Q3" s="276" t="s">
        <v>156</v>
      </c>
      <c r="R3" s="276" t="s">
        <v>157</v>
      </c>
      <c r="S3" s="276" t="s">
        <v>158</v>
      </c>
      <c r="T3" s="276" t="s">
        <v>159</v>
      </c>
      <c r="U3" s="276" t="s">
        <v>160</v>
      </c>
      <c r="V3" s="276" t="s">
        <v>161</v>
      </c>
      <c r="W3" s="276" t="s">
        <v>162</v>
      </c>
      <c r="X3" s="276" t="s">
        <v>163</v>
      </c>
      <c r="Y3" s="276" t="s">
        <v>164</v>
      </c>
      <c r="Z3" s="276" t="s">
        <v>165</v>
      </c>
      <c r="AA3" s="276" t="s">
        <v>166</v>
      </c>
      <c r="AB3" s="276" t="s">
        <v>167</v>
      </c>
      <c r="AC3" s="276" t="s">
        <v>168</v>
      </c>
      <c r="AD3" s="276" t="s">
        <v>169</v>
      </c>
      <c r="AE3" s="276" t="s">
        <v>170</v>
      </c>
      <c r="AF3" s="276" t="s">
        <v>171</v>
      </c>
      <c r="AG3" s="276" t="s">
        <v>172</v>
      </c>
      <c r="AH3" s="276" t="s">
        <v>173</v>
      </c>
      <c r="AI3" s="276" t="s">
        <v>174</v>
      </c>
      <c r="AK3" s="529"/>
    </row>
    <row r="4" spans="1:37" ht="6" customHeight="1">
      <c r="A4" s="8"/>
      <c r="B4" s="9"/>
      <c r="AK4" s="529"/>
    </row>
    <row r="5" spans="1:37" ht="18" customHeight="1">
      <c r="A5" s="241" t="s">
        <v>582</v>
      </c>
      <c r="B5" s="240">
        <f t="shared" ref="B5:J5" si="0">SUM(B6:B7)</f>
        <v>0</v>
      </c>
      <c r="C5" s="240">
        <f t="shared" si="0"/>
        <v>0</v>
      </c>
      <c r="D5" s="240">
        <f t="shared" si="0"/>
        <v>0</v>
      </c>
      <c r="E5" s="240">
        <f t="shared" si="0"/>
        <v>300000</v>
      </c>
      <c r="F5" s="240">
        <f t="shared" si="0"/>
        <v>0</v>
      </c>
      <c r="G5" s="240">
        <f t="shared" si="0"/>
        <v>0</v>
      </c>
      <c r="H5" s="240">
        <f t="shared" si="0"/>
        <v>0</v>
      </c>
      <c r="I5" s="240">
        <f t="shared" si="0"/>
        <v>0</v>
      </c>
      <c r="J5" s="240">
        <f t="shared" si="0"/>
        <v>0</v>
      </c>
      <c r="K5" s="240">
        <f t="shared" ref="K5:X5" si="1">SUM(K6:K7)</f>
        <v>0</v>
      </c>
      <c r="L5" s="240">
        <f t="shared" si="1"/>
        <v>0</v>
      </c>
      <c r="M5" s="240">
        <f t="shared" si="1"/>
        <v>0</v>
      </c>
      <c r="N5" s="240">
        <f t="shared" si="1"/>
        <v>0</v>
      </c>
      <c r="O5" s="240">
        <f t="shared" si="1"/>
        <v>0</v>
      </c>
      <c r="P5" s="240">
        <f t="shared" si="1"/>
        <v>0</v>
      </c>
      <c r="Q5" s="240">
        <f t="shared" si="1"/>
        <v>0</v>
      </c>
      <c r="R5" s="240">
        <f t="shared" si="1"/>
        <v>0</v>
      </c>
      <c r="S5" s="240">
        <f t="shared" si="1"/>
        <v>0</v>
      </c>
      <c r="T5" s="240">
        <f t="shared" si="1"/>
        <v>0</v>
      </c>
      <c r="U5" s="240">
        <f t="shared" si="1"/>
        <v>0</v>
      </c>
      <c r="V5" s="240">
        <f t="shared" si="1"/>
        <v>0</v>
      </c>
      <c r="W5" s="240">
        <f t="shared" si="1"/>
        <v>0</v>
      </c>
      <c r="X5" s="240">
        <f t="shared" si="1"/>
        <v>0</v>
      </c>
      <c r="Y5" s="240">
        <f t="shared" ref="Y5:AI5" si="2">SUM(Y6:Y7)</f>
        <v>0</v>
      </c>
      <c r="Z5" s="240">
        <f t="shared" si="2"/>
        <v>0</v>
      </c>
      <c r="AA5" s="240">
        <f t="shared" si="2"/>
        <v>0</v>
      </c>
      <c r="AB5" s="240">
        <f t="shared" si="2"/>
        <v>0</v>
      </c>
      <c r="AC5" s="240">
        <f t="shared" si="2"/>
        <v>0</v>
      </c>
      <c r="AD5" s="240">
        <f t="shared" si="2"/>
        <v>0</v>
      </c>
      <c r="AE5" s="240">
        <f t="shared" si="2"/>
        <v>0</v>
      </c>
      <c r="AF5" s="240">
        <f t="shared" si="2"/>
        <v>0</v>
      </c>
      <c r="AG5" s="240">
        <f t="shared" si="2"/>
        <v>0</v>
      </c>
      <c r="AH5" s="240">
        <f t="shared" si="2"/>
        <v>0</v>
      </c>
      <c r="AI5" s="240">
        <f t="shared" si="2"/>
        <v>0</v>
      </c>
      <c r="AJ5" s="169"/>
      <c r="AK5" s="529"/>
    </row>
    <row r="6" spans="1:37" ht="18" customHeight="1">
      <c r="A6" s="8" t="s">
        <v>595</v>
      </c>
      <c r="B6" s="13">
        <v>0</v>
      </c>
      <c r="C6" s="13">
        <v>0</v>
      </c>
      <c r="D6" s="13">
        <v>0</v>
      </c>
      <c r="E6" s="13">
        <f>+Ricavi!B8*Ipotesi!C10</f>
        <v>300000</v>
      </c>
      <c r="F6" s="13">
        <f>+Ricavi!C8*Ipotesi!D10</f>
        <v>0</v>
      </c>
      <c r="G6" s="13">
        <f>+Ricavi!D8*Ipotesi!E10</f>
        <v>0</v>
      </c>
      <c r="H6" s="13">
        <f>+Ricavi!E8*Ipotesi!F10</f>
        <v>0</v>
      </c>
      <c r="I6" s="13">
        <f>+Ricavi!F8*Ipotesi!G10</f>
        <v>0</v>
      </c>
      <c r="J6" s="13">
        <f>+Ricavi!G8*Ipotesi!H10</f>
        <v>0</v>
      </c>
      <c r="K6" s="13">
        <f>+Ricavi!H8*Ipotesi!I10</f>
        <v>0</v>
      </c>
      <c r="L6" s="13">
        <f>+Ricavi!I8*Ipotesi!J10</f>
        <v>0</v>
      </c>
      <c r="M6" s="13">
        <f>+Ricavi!J8*Ipotesi!K10</f>
        <v>0</v>
      </c>
      <c r="N6" s="13">
        <f>+Ricavi!K8*Ipotesi!L10</f>
        <v>0</v>
      </c>
      <c r="O6" s="13">
        <f>+Ricavi!L8*Ipotesi!M10</f>
        <v>0</v>
      </c>
      <c r="P6" s="13">
        <f>+Ricavi!M8*Ipotesi!N10</f>
        <v>0</v>
      </c>
      <c r="Q6" s="13">
        <f>+Ricavi!N8*Ipotesi!O10</f>
        <v>0</v>
      </c>
      <c r="R6" s="13">
        <f>+Ricavi!O8*Ipotesi!P10</f>
        <v>0</v>
      </c>
      <c r="S6" s="13">
        <f>+Ricavi!P8*Ipotesi!Q10</f>
        <v>0</v>
      </c>
      <c r="T6" s="13">
        <f>+Ricavi!Q8*Ipotesi!R10</f>
        <v>0</v>
      </c>
      <c r="U6" s="13">
        <f>+Ricavi!R8*Ipotesi!S10</f>
        <v>0</v>
      </c>
      <c r="V6" s="13">
        <f>+Ricavi!S8*Ipotesi!T10</f>
        <v>0</v>
      </c>
      <c r="W6" s="13">
        <f>+Ricavi!T8*Ipotesi!U10</f>
        <v>0</v>
      </c>
      <c r="X6" s="13">
        <f>+Ricavi!U8*Ipotesi!V10</f>
        <v>0</v>
      </c>
      <c r="Y6" s="13">
        <f>+Ricavi!V8*Ipotesi!W10</f>
        <v>0</v>
      </c>
      <c r="Z6" s="13">
        <f>+Ricavi!W8*Ipotesi!X10</f>
        <v>0</v>
      </c>
      <c r="AA6" s="13">
        <f>+Ricavi!X8*Ipotesi!Y10</f>
        <v>0</v>
      </c>
      <c r="AB6" s="13">
        <f>+Ricavi!Y8*Ipotesi!Z10</f>
        <v>0</v>
      </c>
      <c r="AC6" s="13">
        <f>+Ricavi!Z8*Ipotesi!AA10</f>
        <v>0</v>
      </c>
      <c r="AD6" s="13">
        <f>+Ricavi!AA8*Ipotesi!AB10</f>
        <v>0</v>
      </c>
      <c r="AE6" s="13">
        <f>+Ricavi!AB8*Ipotesi!AC10</f>
        <v>0</v>
      </c>
      <c r="AF6" s="13">
        <f>+Ricavi!AC8*Ipotesi!AD10</f>
        <v>0</v>
      </c>
      <c r="AG6" s="13">
        <f>+Ricavi!AD8*Ipotesi!AE10</f>
        <v>0</v>
      </c>
      <c r="AH6" s="13">
        <f>+Ricavi!AE8*Ipotesi!AF10</f>
        <v>0</v>
      </c>
      <c r="AI6" s="13">
        <f>+Ricavi!AF8*Ipotesi!AG10</f>
        <v>0</v>
      </c>
      <c r="AK6" s="529"/>
    </row>
    <row r="7" spans="1:37" ht="18" hidden="1" customHeight="1" outlineLevel="1">
      <c r="A7" s="8" t="s">
        <v>597</v>
      </c>
      <c r="B7" s="13">
        <v>0</v>
      </c>
      <c r="C7" s="13">
        <v>0</v>
      </c>
      <c r="D7" s="13">
        <v>0</v>
      </c>
      <c r="E7" s="13">
        <f>+Ricavi!B11*Ipotesi!C10</f>
        <v>0</v>
      </c>
      <c r="F7" s="13">
        <f>+Ricavi!C11*Ipotesi!D10</f>
        <v>0</v>
      </c>
      <c r="G7" s="13">
        <f>+Ricavi!D11*Ipotesi!E10</f>
        <v>0</v>
      </c>
      <c r="H7" s="13">
        <f>+Ricavi!E11*Ipotesi!F10</f>
        <v>0</v>
      </c>
      <c r="I7" s="13">
        <f>+Ricavi!F11*Ipotesi!G10</f>
        <v>0</v>
      </c>
      <c r="J7" s="13">
        <f>+Ricavi!G11*Ipotesi!H10</f>
        <v>0</v>
      </c>
      <c r="K7" s="13">
        <f>+Ricavi!H11*Ipotesi!I10</f>
        <v>0</v>
      </c>
      <c r="L7" s="13">
        <f>+Ricavi!I11*Ipotesi!J10</f>
        <v>0</v>
      </c>
      <c r="M7" s="13">
        <f>+Ricavi!J11*Ipotesi!K10</f>
        <v>0</v>
      </c>
      <c r="N7" s="13">
        <f>+Ricavi!K11*Ipotesi!L10</f>
        <v>0</v>
      </c>
      <c r="O7" s="13">
        <f>+Ricavi!L11*Ipotesi!M10</f>
        <v>0</v>
      </c>
      <c r="P7" s="13">
        <f>+Ricavi!M11*Ipotesi!N10</f>
        <v>0</v>
      </c>
      <c r="Q7" s="13">
        <f>+Ricavi!N11*Ipotesi!O10</f>
        <v>0</v>
      </c>
      <c r="R7" s="13">
        <f>+Ricavi!O11*Ipotesi!P10</f>
        <v>0</v>
      </c>
      <c r="S7" s="13">
        <f>+Ricavi!P11*Ipotesi!Q10</f>
        <v>0</v>
      </c>
      <c r="T7" s="13">
        <f>+Ricavi!Q11*Ipotesi!R10</f>
        <v>0</v>
      </c>
      <c r="U7" s="13">
        <f>+Ricavi!R11*Ipotesi!S10</f>
        <v>0</v>
      </c>
      <c r="V7" s="13">
        <f>+Ricavi!S11*Ipotesi!T10</f>
        <v>0</v>
      </c>
      <c r="W7" s="13">
        <f>+Ricavi!T11*Ipotesi!U10</f>
        <v>0</v>
      </c>
      <c r="X7" s="13">
        <f>+Ricavi!U11*Ipotesi!V10</f>
        <v>0</v>
      </c>
      <c r="Y7" s="13">
        <f>+Ricavi!V11*Ipotesi!W10</f>
        <v>0</v>
      </c>
      <c r="Z7" s="13">
        <f>+Ricavi!W11*Ipotesi!X10</f>
        <v>0</v>
      </c>
      <c r="AA7" s="13">
        <f>+Ricavi!X11*Ipotesi!Y10</f>
        <v>0</v>
      </c>
      <c r="AB7" s="13">
        <f>+Ricavi!Y11*Ipotesi!Z10</f>
        <v>0</v>
      </c>
      <c r="AC7" s="13">
        <f>+Ricavi!Z11*Ipotesi!AA10</f>
        <v>0</v>
      </c>
      <c r="AD7" s="13">
        <f>+Ricavi!AA11*Ipotesi!AB10</f>
        <v>0</v>
      </c>
      <c r="AE7" s="13">
        <f>+Ricavi!AB11*Ipotesi!AC10</f>
        <v>0</v>
      </c>
      <c r="AF7" s="13">
        <f>+Ricavi!AC11*Ipotesi!AD10</f>
        <v>0</v>
      </c>
      <c r="AG7" s="13">
        <f>+Ricavi!AD11*Ipotesi!AE10</f>
        <v>0</v>
      </c>
      <c r="AH7" s="13">
        <f>+Ricavi!AE11*Ipotesi!AF10</f>
        <v>0</v>
      </c>
      <c r="AI7" s="13">
        <f>+Ricavi!AF11*Ipotesi!AG10</f>
        <v>0</v>
      </c>
      <c r="AK7" s="529"/>
    </row>
    <row r="8" spans="1:37" ht="6" customHeight="1" collapsed="1">
      <c r="A8" s="11"/>
      <c r="B8" s="14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K8" s="529"/>
    </row>
    <row r="9" spans="1:37" ht="18" customHeight="1">
      <c r="A9" s="241" t="s">
        <v>53</v>
      </c>
      <c r="B9" s="240">
        <f t="shared" ref="B9:I9" si="3">SUM(B10:B16)</f>
        <v>0</v>
      </c>
      <c r="C9" s="240">
        <f t="shared" si="3"/>
        <v>0</v>
      </c>
      <c r="D9" s="240">
        <f t="shared" si="3"/>
        <v>0</v>
      </c>
      <c r="E9" s="240">
        <f t="shared" si="3"/>
        <v>-217118.71450000003</v>
      </c>
      <c r="F9" s="240">
        <f t="shared" si="3"/>
        <v>-441619.46529299999</v>
      </c>
      <c r="G9" s="240">
        <f t="shared" si="3"/>
        <v>-449126.99620298098</v>
      </c>
      <c r="H9" s="240">
        <f t="shared" si="3"/>
        <v>-456762.15513843158</v>
      </c>
      <c r="I9" s="240">
        <f t="shared" si="3"/>
        <v>-464527.11177578481</v>
      </c>
      <c r="J9" s="240">
        <f t="shared" ref="J9:X9" si="4">SUM(J10:J16)</f>
        <v>-472424.07267597306</v>
      </c>
      <c r="K9" s="240">
        <f t="shared" si="4"/>
        <v>-480455.28191146464</v>
      </c>
      <c r="L9" s="240">
        <f t="shared" si="4"/>
        <v>-488623.02170395933</v>
      </c>
      <c r="M9" s="240">
        <f t="shared" si="4"/>
        <v>-496929.61307292664</v>
      </c>
      <c r="N9" s="240">
        <f t="shared" si="4"/>
        <v>-505377.41649516637</v>
      </c>
      <c r="O9" s="240">
        <f t="shared" si="4"/>
        <v>-513968.83257558418</v>
      </c>
      <c r="P9" s="240">
        <f t="shared" si="4"/>
        <v>-522706.30272936914</v>
      </c>
      <c r="Q9" s="240">
        <f t="shared" si="4"/>
        <v>-531592.30987576838</v>
      </c>
      <c r="R9" s="240">
        <f t="shared" si="4"/>
        <v>-540629.37914365635</v>
      </c>
      <c r="S9" s="240">
        <f t="shared" si="4"/>
        <v>-549820.07858909841</v>
      </c>
      <c r="T9" s="240">
        <f t="shared" si="4"/>
        <v>-559167.01992511307</v>
      </c>
      <c r="U9" s="240">
        <f t="shared" si="4"/>
        <v>-568672.85926384002</v>
      </c>
      <c r="V9" s="240">
        <f t="shared" si="4"/>
        <v>-578340.29787132517</v>
      </c>
      <c r="W9" s="240">
        <f t="shared" si="4"/>
        <v>-588172.08293513767</v>
      </c>
      <c r="X9" s="240">
        <f t="shared" si="4"/>
        <v>-598171.0083450349</v>
      </c>
      <c r="Y9" s="240">
        <f t="shared" ref="Y9:AI9" si="5">SUM(Y10:Y16)</f>
        <v>-608339.91548690037</v>
      </c>
      <c r="Z9" s="240">
        <f t="shared" si="5"/>
        <v>-618681.6940501777</v>
      </c>
      <c r="AA9" s="240">
        <f t="shared" si="5"/>
        <v>-629199.28284903069</v>
      </c>
      <c r="AB9" s="240">
        <f t="shared" si="5"/>
        <v>-639895.67065746407</v>
      </c>
      <c r="AC9" s="240">
        <f t="shared" si="5"/>
        <v>-650773.89705864096</v>
      </c>
      <c r="AD9" s="240">
        <f t="shared" si="5"/>
        <v>-661837.05330863781</v>
      </c>
      <c r="AE9" s="240">
        <f t="shared" si="5"/>
        <v>-673088.28321488458</v>
      </c>
      <c r="AF9" s="240">
        <f t="shared" si="5"/>
        <v>-684530.7840295377</v>
      </c>
      <c r="AG9" s="240">
        <f t="shared" si="5"/>
        <v>-696167.80735803978</v>
      </c>
      <c r="AH9" s="240">
        <f t="shared" si="5"/>
        <v>-708002.66008312639</v>
      </c>
      <c r="AI9" s="240">
        <f t="shared" si="5"/>
        <v>-720038.70530453953</v>
      </c>
      <c r="AJ9" s="169"/>
      <c r="AK9" s="529"/>
    </row>
    <row r="10" spans="1:37" ht="18" customHeight="1">
      <c r="A10" s="8" t="s">
        <v>276</v>
      </c>
      <c r="B10" s="15">
        <v>0</v>
      </c>
      <c r="C10" s="15">
        <v>0</v>
      </c>
      <c r="D10" s="15">
        <v>0</v>
      </c>
      <c r="E10" s="13">
        <f>-'Costi operativi'!B3*Ipotesi!C10</f>
        <v>-3926</v>
      </c>
      <c r="F10" s="13">
        <f>-'Costi operativi'!C3*Ipotesi!D10</f>
        <v>-7985.4839999999995</v>
      </c>
      <c r="G10" s="13">
        <f>-'Costi operativi'!D3*Ipotesi!E10</f>
        <v>-8121.2372279999981</v>
      </c>
      <c r="H10" s="13">
        <f>-'Costi operativi'!E3*Ipotesi!F10</f>
        <v>-8259.2982608759976</v>
      </c>
      <c r="I10" s="13">
        <f>-'Costi operativi'!F3*Ipotesi!G10</f>
        <v>-8399.7063313108865</v>
      </c>
      <c r="J10" s="13">
        <f>-'Costi operativi'!G3*Ipotesi!H10</f>
        <v>-8542.5013389431715</v>
      </c>
      <c r="K10" s="13">
        <f>-'Costi operativi'!H3*Ipotesi!I10</f>
        <v>-8687.7238617052044</v>
      </c>
      <c r="L10" s="13">
        <f>-'Costi operativi'!I3*Ipotesi!J10</f>
        <v>-8835.415167354191</v>
      </c>
      <c r="M10" s="13">
        <f>-'Costi operativi'!J3*Ipotesi!K10</f>
        <v>-8985.617225199212</v>
      </c>
      <c r="N10" s="13">
        <f>-'Costi operativi'!K3*Ipotesi!L10</f>
        <v>-9138.3727180275982</v>
      </c>
      <c r="O10" s="13">
        <f>-'Costi operativi'!L3*Ipotesi!M10</f>
        <v>-9293.7250542340662</v>
      </c>
      <c r="P10" s="13">
        <f>-'Costi operativi'!M3*Ipotesi!N10</f>
        <v>-9451.7183801560441</v>
      </c>
      <c r="Q10" s="13">
        <f>-'Costi operativi'!N3*Ipotesi!O10</f>
        <v>-9612.3975926186977</v>
      </c>
      <c r="R10" s="13">
        <f>-'Costi operativi'!O3*Ipotesi!P10</f>
        <v>-9775.8083516932147</v>
      </c>
      <c r="S10" s="13">
        <f>-'Costi operativi'!P3*Ipotesi!Q10</f>
        <v>-9941.9970936719983</v>
      </c>
      <c r="T10" s="13">
        <f>-'Costi operativi'!Q3*Ipotesi!R10</f>
        <v>-10111.01104426442</v>
      </c>
      <c r="U10" s="13">
        <f>-'Costi operativi'!R3*Ipotesi!S10</f>
        <v>-10282.898232016916</v>
      </c>
      <c r="V10" s="13">
        <f>-'Costi operativi'!S3*Ipotesi!T10</f>
        <v>-10457.707501961202</v>
      </c>
      <c r="W10" s="13">
        <f>-'Costi operativi'!T3*Ipotesi!U10</f>
        <v>-10635.488529494542</v>
      </c>
      <c r="X10" s="13">
        <f>-'Costi operativi'!U3*Ipotesi!V10</f>
        <v>-10816.291834495947</v>
      </c>
      <c r="Y10" s="13">
        <f>-'Costi operativi'!V3*Ipotesi!W10</f>
        <v>-11000.168795682377</v>
      </c>
      <c r="Z10" s="13">
        <f>-'Costi operativi'!W3*Ipotesi!X10</f>
        <v>-11187.171665208976</v>
      </c>
      <c r="AA10" s="13">
        <f>-'Costi operativi'!X3*Ipotesi!Y10</f>
        <v>-11377.353583517528</v>
      </c>
      <c r="AB10" s="13">
        <f>-'Costi operativi'!Y3*Ipotesi!Z10</f>
        <v>-11570.768594437326</v>
      </c>
      <c r="AC10" s="13">
        <f>-'Costi operativi'!Z3*Ipotesi!AA10</f>
        <v>-11767.471660542758</v>
      </c>
      <c r="AD10" s="13">
        <f>-'Costi operativi'!AA3*Ipotesi!AB10</f>
        <v>-11967.518678771985</v>
      </c>
      <c r="AE10" s="13">
        <f>-'Costi operativi'!AB3*Ipotesi!AC10</f>
        <v>-12170.966496311108</v>
      </c>
      <c r="AF10" s="13">
        <f>-'Costi operativi'!AC3*Ipotesi!AD10</f>
        <v>-12377.872926748396</v>
      </c>
      <c r="AG10" s="13">
        <f>-'Costi operativi'!AD3*Ipotesi!AE10</f>
        <v>-12588.296766503119</v>
      </c>
      <c r="AH10" s="13">
        <f>-'Costi operativi'!AE3*Ipotesi!AF10</f>
        <v>-12802.29781153367</v>
      </c>
      <c r="AI10" s="13">
        <f>-'Costi operativi'!AF3*Ipotesi!AG10</f>
        <v>-13019.936874329742</v>
      </c>
      <c r="AK10" s="529"/>
    </row>
    <row r="11" spans="1:37" ht="18" customHeight="1">
      <c r="A11" s="8" t="s">
        <v>272</v>
      </c>
      <c r="B11" s="15">
        <v>0</v>
      </c>
      <c r="C11" s="15">
        <v>0</v>
      </c>
      <c r="D11" s="15">
        <v>0</v>
      </c>
      <c r="E11" s="13">
        <f>-'Costi operativi'!B10*Ipotesi!C10</f>
        <v>-7320</v>
      </c>
      <c r="F11" s="13">
        <f>-'Costi operativi'!C10*Ipotesi!D10</f>
        <v>-14888.88</v>
      </c>
      <c r="G11" s="13">
        <f>-'Costi operativi'!D10*Ipotesi!E10</f>
        <v>-15141.990959999997</v>
      </c>
      <c r="H11" s="13">
        <f>-'Costi operativi'!E10*Ipotesi!F10</f>
        <v>-15399.404806319993</v>
      </c>
      <c r="I11" s="13">
        <f>-'Costi operativi'!F10*Ipotesi!G10</f>
        <v>-15661.194688027432</v>
      </c>
      <c r="J11" s="13">
        <f>-'Costi operativi'!G10*Ipotesi!H10</f>
        <v>-15927.434997723894</v>
      </c>
      <c r="K11" s="13">
        <f>-'Costi operativi'!H10*Ipotesi!I10</f>
        <v>-16198.2013926852</v>
      </c>
      <c r="L11" s="13">
        <f>-'Costi operativi'!I10*Ipotesi!J10</f>
        <v>-16473.570816360847</v>
      </c>
      <c r="M11" s="13">
        <f>-'Costi operativi'!J10*Ipotesi!K10</f>
        <v>-16753.621520238979</v>
      </c>
      <c r="N11" s="13">
        <f>-'Costi operativi'!K10*Ipotesi!L10</f>
        <v>-17038.433086083041</v>
      </c>
      <c r="O11" s="13">
        <f>-'Costi operativi'!L10*Ipotesi!M10</f>
        <v>-17328.086448546452</v>
      </c>
      <c r="P11" s="13">
        <f>-'Costi operativi'!M10*Ipotesi!N10</f>
        <v>-17622.66391817174</v>
      </c>
      <c r="Q11" s="13">
        <f>-'Costi operativi'!N10*Ipotesi!O10</f>
        <v>-17922.249204780659</v>
      </c>
      <c r="R11" s="13">
        <f>-'Costi operativi'!O10*Ipotesi!P10</f>
        <v>-18226.927441261927</v>
      </c>
      <c r="S11" s="13">
        <f>-'Costi operativi'!P10*Ipotesi!Q10</f>
        <v>-18536.78520776338</v>
      </c>
      <c r="T11" s="13">
        <f>-'Costi operativi'!Q10*Ipotesi!R10</f>
        <v>-18851.910556295352</v>
      </c>
      <c r="U11" s="13">
        <f>-'Costi operativi'!R10*Ipotesi!S10</f>
        <v>-19172.393035752375</v>
      </c>
      <c r="V11" s="13">
        <f>-'Costi operativi'!S10*Ipotesi!T10</f>
        <v>-19498.323717360163</v>
      </c>
      <c r="W11" s="13">
        <f>-'Costi operativi'!T10*Ipotesi!U10</f>
        <v>-19829.795220555283</v>
      </c>
      <c r="X11" s="13">
        <f>-'Costi operativi'!U10*Ipotesi!V10</f>
        <v>-20166.901739304722</v>
      </c>
      <c r="Y11" s="13">
        <f>-'Costi operativi'!V10*Ipotesi!W10</f>
        <v>-20509.739068872899</v>
      </c>
      <c r="Z11" s="13">
        <f>-'Costi operativi'!W10*Ipotesi!X10</f>
        <v>-20858.404633043738</v>
      </c>
      <c r="AA11" s="13">
        <f>-'Costi operativi'!X10*Ipotesi!Y10</f>
        <v>-21212.997511805479</v>
      </c>
      <c r="AB11" s="13">
        <f>-'Costi operativi'!Y10*Ipotesi!Z10</f>
        <v>-21573.618469506171</v>
      </c>
      <c r="AC11" s="13">
        <f>-'Costi operativi'!Z10*Ipotesi!AA10</f>
        <v>-21940.369983487773</v>
      </c>
      <c r="AD11" s="13">
        <f>-'Costi operativi'!AA10*Ipotesi!AB10</f>
        <v>-22313.356273207064</v>
      </c>
      <c r="AE11" s="13">
        <f>-'Costi operativi'!AB10*Ipotesi!AC10</f>
        <v>-22692.683329851581</v>
      </c>
      <c r="AF11" s="13">
        <f>-'Costi operativi'!AC10*Ipotesi!AD10</f>
        <v>-23078.458946459057</v>
      </c>
      <c r="AG11" s="13">
        <f>-'Costi operativi'!AD10*Ipotesi!AE10</f>
        <v>-23470.792748548862</v>
      </c>
      <c r="AH11" s="13">
        <f>-'Costi operativi'!AE10*Ipotesi!AF10</f>
        <v>-23869.796225274189</v>
      </c>
      <c r="AI11" s="13">
        <f>-'Costi operativi'!AF10*Ipotesi!AG10</f>
        <v>-24275.582761103848</v>
      </c>
      <c r="AK11" s="529"/>
    </row>
    <row r="12" spans="1:37" ht="18" customHeight="1">
      <c r="A12" s="8" t="s">
        <v>273</v>
      </c>
      <c r="B12" s="15">
        <v>0</v>
      </c>
      <c r="C12" s="15">
        <v>0</v>
      </c>
      <c r="D12" s="15">
        <v>0</v>
      </c>
      <c r="E12" s="13">
        <f>-'Costi operativi'!B11*Ipotesi!C10</f>
        <v>-128272.71450000003</v>
      </c>
      <c r="F12" s="13">
        <f>-'Costi operativi'!C11*Ipotesi!D10</f>
        <v>-260906.70129300005</v>
      </c>
      <c r="G12" s="13">
        <f>-'Costi operativi'!D11*Ipotesi!E10</f>
        <v>-265342.11521498102</v>
      </c>
      <c r="H12" s="13">
        <f>-'Costi operativi'!E11*Ipotesi!F10</f>
        <v>-269852.93117363565</v>
      </c>
      <c r="I12" s="13">
        <f>-'Costi operativi'!F11*Ipotesi!G10</f>
        <v>-274440.43100358738</v>
      </c>
      <c r="J12" s="13">
        <f>-'Costi operativi'!G11*Ipotesi!H10</f>
        <v>-279105.91833064833</v>
      </c>
      <c r="K12" s="13">
        <f>-'Costi operativi'!H11*Ipotesi!I10</f>
        <v>-283850.71894226933</v>
      </c>
      <c r="L12" s="13">
        <f>-'Costi operativi'!I11*Ipotesi!J10</f>
        <v>-288676.18116428785</v>
      </c>
      <c r="M12" s="13">
        <f>-'Costi operativi'!J11*Ipotesi!K10</f>
        <v>-293583.67624408071</v>
      </c>
      <c r="N12" s="13">
        <f>-'Costi operativi'!K11*Ipotesi!L10</f>
        <v>-298574.59874023008</v>
      </c>
      <c r="O12" s="13">
        <f>-'Costi operativi'!L11*Ipotesi!M10</f>
        <v>-303650.36691881396</v>
      </c>
      <c r="P12" s="13">
        <f>-'Costi operativi'!M11*Ipotesi!N10</f>
        <v>-308812.4231564338</v>
      </c>
      <c r="Q12" s="13">
        <f>-'Costi operativi'!N11*Ipotesi!O10</f>
        <v>-314062.23435009317</v>
      </c>
      <c r="R12" s="13">
        <f>-'Costi operativi'!O11*Ipotesi!P10</f>
        <v>-319401.2923340447</v>
      </c>
      <c r="S12" s="13">
        <f>-'Costi operativi'!P11*Ipotesi!Q10</f>
        <v>-324831.11430372344</v>
      </c>
      <c r="T12" s="13">
        <f>-'Costi operativi'!Q11*Ipotesi!R10</f>
        <v>-330353.2432468867</v>
      </c>
      <c r="U12" s="13">
        <f>-'Costi operativi'!R11*Ipotesi!S10</f>
        <v>-335969.24838208378</v>
      </c>
      <c r="V12" s="13">
        <f>-'Costi operativi'!S11*Ipotesi!T10</f>
        <v>-341680.72560457914</v>
      </c>
      <c r="W12" s="13">
        <f>-'Costi operativi'!T11*Ipotesi!U10</f>
        <v>-347489.29793985694</v>
      </c>
      <c r="X12" s="13">
        <f>-'Costi operativi'!U11*Ipotesi!V10</f>
        <v>-353396.61600483453</v>
      </c>
      <c r="Y12" s="13">
        <f>-'Costi operativi'!V11*Ipotesi!W10</f>
        <v>-359404.35847691662</v>
      </c>
      <c r="Z12" s="13">
        <f>-'Costi operativi'!W11*Ipotesi!X10</f>
        <v>-365514.23257102421</v>
      </c>
      <c r="AA12" s="13">
        <f>-'Costi operativi'!X11*Ipotesi!Y10</f>
        <v>-371727.97452473157</v>
      </c>
      <c r="AB12" s="13">
        <f>-'Costi operativi'!Y11*Ipotesi!Z10</f>
        <v>-378047.35009165196</v>
      </c>
      <c r="AC12" s="13">
        <f>-'Costi operativi'!Z11*Ipotesi!AA10</f>
        <v>-384474.15504321002</v>
      </c>
      <c r="AD12" s="13">
        <f>-'Costi operativi'!AA11*Ipotesi!AB10</f>
        <v>-391010.21567894454</v>
      </c>
      <c r="AE12" s="13">
        <f>-'Costi operativi'!AB11*Ipotesi!AC10</f>
        <v>-397657.38934548659</v>
      </c>
      <c r="AF12" s="13">
        <f>-'Costi operativi'!AC11*Ipotesi!AD10</f>
        <v>-404417.56496435986</v>
      </c>
      <c r="AG12" s="13">
        <f>-'Costi operativi'!AD11*Ipotesi!AE10</f>
        <v>-411292.66356875398</v>
      </c>
      <c r="AH12" s="13">
        <f>-'Costi operativi'!AE11*Ipotesi!AF10</f>
        <v>-418284.63884942274</v>
      </c>
      <c r="AI12" s="13">
        <f>-'Costi operativi'!AF11*Ipotesi!AG10</f>
        <v>-425395.47770986293</v>
      </c>
      <c r="AK12" s="529"/>
    </row>
    <row r="13" spans="1:37" ht="18" customHeight="1">
      <c r="A13" s="8" t="s">
        <v>274</v>
      </c>
      <c r="B13" s="15">
        <v>0</v>
      </c>
      <c r="C13" s="15">
        <v>0</v>
      </c>
      <c r="D13" s="15">
        <v>0</v>
      </c>
      <c r="E13" s="13">
        <f>-'Costi operativi'!B17*Ipotesi!C10</f>
        <v>-10000</v>
      </c>
      <c r="F13" s="13">
        <f>-'Costi operativi'!C17*Ipotesi!D10</f>
        <v>-20339.999999999996</v>
      </c>
      <c r="G13" s="13">
        <f>-'Costi operativi'!D17*Ipotesi!E10</f>
        <v>-20685.779999999995</v>
      </c>
      <c r="H13" s="13">
        <f>-'Costi operativi'!E17*Ipotesi!F10</f>
        <v>-21037.438259999992</v>
      </c>
      <c r="I13" s="13">
        <f>-'Costi operativi'!F17*Ipotesi!G10</f>
        <v>-21395.074710419987</v>
      </c>
      <c r="J13" s="13">
        <f>-'Costi operativi'!G17*Ipotesi!H10</f>
        <v>-21758.790980497124</v>
      </c>
      <c r="K13" s="13">
        <f>-'Costi operativi'!H17*Ipotesi!I10</f>
        <v>-22128.690427165573</v>
      </c>
      <c r="L13" s="13">
        <f>-'Costi operativi'!I17*Ipotesi!J10</f>
        <v>-22504.878164427384</v>
      </c>
      <c r="M13" s="13">
        <f>-'Costi operativi'!J17*Ipotesi!K10</f>
        <v>-22887.461093222646</v>
      </c>
      <c r="N13" s="13">
        <f>-'Costi operativi'!K17*Ipotesi!L10</f>
        <v>-23276.547931807432</v>
      </c>
      <c r="O13" s="13">
        <f>-'Costi operativi'!L17*Ipotesi!M10</f>
        <v>-23672.249246648156</v>
      </c>
      <c r="P13" s="13">
        <f>-'Costi operativi'!M17*Ipotesi!N10</f>
        <v>-24074.677483841173</v>
      </c>
      <c r="Q13" s="13">
        <f>-'Costi operativi'!N17*Ipotesi!O10</f>
        <v>-24483.947001066474</v>
      </c>
      <c r="R13" s="13">
        <f>-'Costi operativi'!O17*Ipotesi!P10</f>
        <v>-24900.174100084601</v>
      </c>
      <c r="S13" s="13">
        <f>-'Costi operativi'!P17*Ipotesi!Q10</f>
        <v>-25323.477059786037</v>
      </c>
      <c r="T13" s="13">
        <f>-'Costi operativi'!Q17*Ipotesi!R10</f>
        <v>-25753.976169802394</v>
      </c>
      <c r="U13" s="13">
        <f>-'Costi operativi'!R17*Ipotesi!S10</f>
        <v>-26191.793764689035</v>
      </c>
      <c r="V13" s="13">
        <f>-'Costi operativi'!S17*Ipotesi!T10</f>
        <v>-26637.054258688746</v>
      </c>
      <c r="W13" s="13">
        <f>-'Costi operativi'!T17*Ipotesi!U10</f>
        <v>-27089.884181086451</v>
      </c>
      <c r="X13" s="13">
        <f>-'Costi operativi'!U17*Ipotesi!V10</f>
        <v>-27550.41221216492</v>
      </c>
      <c r="Y13" s="13">
        <f>-'Costi operativi'!V17*Ipotesi!W10</f>
        <v>-28018.769219771719</v>
      </c>
      <c r="Z13" s="13">
        <f>-'Costi operativi'!W17*Ipotesi!X10</f>
        <v>-28495.088296507838</v>
      </c>
      <c r="AA13" s="13">
        <f>-'Costi operativi'!X17*Ipotesi!Y10</f>
        <v>-28979.504797548467</v>
      </c>
      <c r="AB13" s="13">
        <f>-'Costi operativi'!Y17*Ipotesi!Z10</f>
        <v>-29472.156379106789</v>
      </c>
      <c r="AC13" s="13">
        <f>-'Costi operativi'!Z17*Ipotesi!AA10</f>
        <v>-29973.1830375516</v>
      </c>
      <c r="AD13" s="13">
        <f>-'Costi operativi'!AA17*Ipotesi!AB10</f>
        <v>-30482.727149189977</v>
      </c>
      <c r="AE13" s="13">
        <f>-'Costi operativi'!AB17*Ipotesi!AC10</f>
        <v>-31000.933510726205</v>
      </c>
      <c r="AF13" s="13">
        <f>-'Costi operativi'!AC17*Ipotesi!AD10</f>
        <v>-31527.949380408547</v>
      </c>
      <c r="AG13" s="13">
        <f>-'Costi operativi'!AD17*Ipotesi!AE10</f>
        <v>-32063.924519875494</v>
      </c>
      <c r="AH13" s="13">
        <f>-'Costi operativi'!AE17*Ipotesi!AF10</f>
        <v>-32609.011236713373</v>
      </c>
      <c r="AI13" s="13">
        <f>-'Costi operativi'!AF17*Ipotesi!AG10</f>
        <v>-33163.364427737499</v>
      </c>
      <c r="AK13" s="529"/>
    </row>
    <row r="14" spans="1:37" ht="18" customHeight="1">
      <c r="A14" s="8" t="s">
        <v>590</v>
      </c>
      <c r="B14" s="15">
        <v>0</v>
      </c>
      <c r="C14" s="15">
        <v>0</v>
      </c>
      <c r="D14" s="15">
        <v>0</v>
      </c>
      <c r="E14" s="13">
        <f>-'Costi operativi'!B18*Ipotesi!C10</f>
        <v>-67600</v>
      </c>
      <c r="F14" s="13">
        <f>-'Costi operativi'!C18*Ipotesi!D10</f>
        <v>-137498.4</v>
      </c>
      <c r="G14" s="13">
        <f>-'Costi operativi'!D18*Ipotesi!E10</f>
        <v>-139835.87279999998</v>
      </c>
      <c r="H14" s="13">
        <f>-'Costi operativi'!E18*Ipotesi!F10</f>
        <v>-142213.08263759996</v>
      </c>
      <c r="I14" s="13">
        <f>-'Costi operativi'!F18*Ipotesi!G10</f>
        <v>-144630.70504243911</v>
      </c>
      <c r="J14" s="13">
        <f>-'Costi operativi'!G18*Ipotesi!H10</f>
        <v>-147089.42702816057</v>
      </c>
      <c r="K14" s="13">
        <f>-'Costi operativi'!H18*Ipotesi!I10</f>
        <v>-149589.94728763928</v>
      </c>
      <c r="L14" s="13">
        <f>-'Costi operativi'!I18*Ipotesi!J10</f>
        <v>-152132.97639152911</v>
      </c>
      <c r="M14" s="13">
        <f>-'Costi operativi'!J18*Ipotesi!K10</f>
        <v>-154719.23699018511</v>
      </c>
      <c r="N14" s="13">
        <f>-'Costi operativi'!K18*Ipotesi!L10</f>
        <v>-157349.46401901825</v>
      </c>
      <c r="O14" s="13">
        <f>-'Costi operativi'!L18*Ipotesi!M10</f>
        <v>-160024.40490734152</v>
      </c>
      <c r="P14" s="13">
        <f>-'Costi operativi'!M18*Ipotesi!N10</f>
        <v>-162744.81979076634</v>
      </c>
      <c r="Q14" s="13">
        <f>-'Costi operativi'!N18*Ipotesi!O10</f>
        <v>-165511.48172720935</v>
      </c>
      <c r="R14" s="13">
        <f>-'Costi operativi'!O18*Ipotesi!P10</f>
        <v>-168325.17691657189</v>
      </c>
      <c r="S14" s="13">
        <f>-'Costi operativi'!P18*Ipotesi!Q10</f>
        <v>-171186.7049241536</v>
      </c>
      <c r="T14" s="13">
        <f>-'Costi operativi'!Q18*Ipotesi!R10</f>
        <v>-174096.87890786419</v>
      </c>
      <c r="U14" s="13">
        <f>-'Costi operativi'!R18*Ipotesi!S10</f>
        <v>-177056.52584929788</v>
      </c>
      <c r="V14" s="13">
        <f>-'Costi operativi'!S18*Ipotesi!T10</f>
        <v>-180066.48678873593</v>
      </c>
      <c r="W14" s="13">
        <f>-'Costi operativi'!T18*Ipotesi!U10</f>
        <v>-183127.6170641444</v>
      </c>
      <c r="X14" s="13">
        <f>-'Costi operativi'!U18*Ipotesi!V10</f>
        <v>-186240.78655423486</v>
      </c>
      <c r="Y14" s="13">
        <f>-'Costi operativi'!V18*Ipotesi!W10</f>
        <v>-189406.87992565683</v>
      </c>
      <c r="Z14" s="13">
        <f>-'Costi operativi'!W18*Ipotesi!X10</f>
        <v>-192626.79688439297</v>
      </c>
      <c r="AA14" s="13">
        <f>-'Costi operativi'!X18*Ipotesi!Y10</f>
        <v>-195901.45243142764</v>
      </c>
      <c r="AB14" s="13">
        <f>-'Costi operativi'!Y18*Ipotesi!Z10</f>
        <v>-199231.77712276188</v>
      </c>
      <c r="AC14" s="13">
        <f>-'Costi operativi'!Z18*Ipotesi!AA10</f>
        <v>-202618.71733384882</v>
      </c>
      <c r="AD14" s="13">
        <f>-'Costi operativi'!AA18*Ipotesi!AB10</f>
        <v>-206063.23552852424</v>
      </c>
      <c r="AE14" s="13">
        <f>-'Costi operativi'!AB18*Ipotesi!AC10</f>
        <v>-209566.31053250915</v>
      </c>
      <c r="AF14" s="13">
        <f>-'Costi operativi'!AC18*Ipotesi!AD10</f>
        <v>-213128.9378115618</v>
      </c>
      <c r="AG14" s="13">
        <f>-'Costi operativi'!AD18*Ipotesi!AE10</f>
        <v>-216752.12975435832</v>
      </c>
      <c r="AH14" s="13">
        <f>-'Costi operativi'!AE18*Ipotesi!AF10</f>
        <v>-220436.91596018241</v>
      </c>
      <c r="AI14" s="13">
        <f>-'Costi operativi'!AF18*Ipotesi!AG10</f>
        <v>-224184.3435315055</v>
      </c>
      <c r="AK14" s="529"/>
    </row>
    <row r="15" spans="1:37" ht="18" hidden="1" customHeight="1" outlineLevel="1">
      <c r="A15" s="8" t="s">
        <v>275</v>
      </c>
      <c r="B15" s="15">
        <v>0</v>
      </c>
      <c r="C15" s="15">
        <v>0</v>
      </c>
      <c r="D15" s="15">
        <v>0</v>
      </c>
      <c r="E15" s="13">
        <f>-'Costi operativi'!B28*Ipotesi!C10</f>
        <v>0</v>
      </c>
      <c r="F15" s="13">
        <f>-'Costi operativi'!C28*Ipotesi!D10</f>
        <v>0</v>
      </c>
      <c r="G15" s="13">
        <f>-'Costi operativi'!D28*Ipotesi!E10</f>
        <v>0</v>
      </c>
      <c r="H15" s="13">
        <f>-'Costi operativi'!E28*Ipotesi!F10</f>
        <v>0</v>
      </c>
      <c r="I15" s="13">
        <f>-'Costi operativi'!F28*Ipotesi!G10</f>
        <v>0</v>
      </c>
      <c r="J15" s="13">
        <f>-'Costi operativi'!G28*Ipotesi!H10</f>
        <v>0</v>
      </c>
      <c r="K15" s="13">
        <f>-'Costi operativi'!H28*Ipotesi!I10</f>
        <v>0</v>
      </c>
      <c r="L15" s="13">
        <f>-'Costi operativi'!I28*Ipotesi!J10</f>
        <v>0</v>
      </c>
      <c r="M15" s="13">
        <f>-'Costi operativi'!J28*Ipotesi!K10</f>
        <v>0</v>
      </c>
      <c r="N15" s="13">
        <f>-'Costi operativi'!K28*Ipotesi!L10</f>
        <v>0</v>
      </c>
      <c r="O15" s="13">
        <f>-'Costi operativi'!L28*Ipotesi!M10</f>
        <v>0</v>
      </c>
      <c r="P15" s="13">
        <f>-'Costi operativi'!M28*Ipotesi!N10</f>
        <v>0</v>
      </c>
      <c r="Q15" s="13">
        <f>-'Costi operativi'!N28*Ipotesi!O10</f>
        <v>0</v>
      </c>
      <c r="R15" s="13">
        <f>-'Costi operativi'!O28*Ipotesi!P10</f>
        <v>0</v>
      </c>
      <c r="S15" s="13">
        <f>-'Costi operativi'!P28*Ipotesi!Q10</f>
        <v>0</v>
      </c>
      <c r="T15" s="13">
        <f>-'Costi operativi'!Q28*Ipotesi!R10</f>
        <v>0</v>
      </c>
      <c r="U15" s="13">
        <f>-'Costi operativi'!R28*Ipotesi!S10</f>
        <v>0</v>
      </c>
      <c r="V15" s="13">
        <f>-'Costi operativi'!S28*Ipotesi!T10</f>
        <v>0</v>
      </c>
      <c r="W15" s="13">
        <f>-'Costi operativi'!T28*Ipotesi!U10</f>
        <v>0</v>
      </c>
      <c r="X15" s="13">
        <f>-'Costi operativi'!U28*Ipotesi!V10</f>
        <v>0</v>
      </c>
      <c r="Y15" s="13">
        <f>-'Costi operativi'!V28*Ipotesi!W10</f>
        <v>0</v>
      </c>
      <c r="Z15" s="13">
        <f>-'Costi operativi'!W28*Ipotesi!X10</f>
        <v>0</v>
      </c>
      <c r="AA15" s="13">
        <f>-'Costi operativi'!X28*Ipotesi!Y10</f>
        <v>0</v>
      </c>
      <c r="AB15" s="13">
        <f>-'Costi operativi'!Y28*Ipotesi!Z10</f>
        <v>0</v>
      </c>
      <c r="AC15" s="13">
        <f>-'Costi operativi'!Z28*Ipotesi!AA10</f>
        <v>0</v>
      </c>
      <c r="AD15" s="13">
        <f>-'Costi operativi'!AA28*Ipotesi!AB10</f>
        <v>0</v>
      </c>
      <c r="AE15" s="13">
        <f>-'Costi operativi'!AB28*Ipotesi!AC10</f>
        <v>0</v>
      </c>
      <c r="AF15" s="13">
        <f>-'Costi operativi'!AC28*Ipotesi!AD10</f>
        <v>0</v>
      </c>
      <c r="AG15" s="13">
        <f>-'Costi operativi'!AD28*Ipotesi!AE10</f>
        <v>0</v>
      </c>
      <c r="AH15" s="13">
        <f>-'Costi operativi'!AE28*Ipotesi!AF10</f>
        <v>0</v>
      </c>
      <c r="AI15" s="13">
        <f>-'Costi operativi'!AF28*Ipotesi!AG10</f>
        <v>0</v>
      </c>
      <c r="AK15" s="529"/>
    </row>
    <row r="16" spans="1:37" ht="18" hidden="1" customHeight="1" outlineLevel="1">
      <c r="A16" s="8" t="s">
        <v>54</v>
      </c>
      <c r="B16" s="15">
        <v>0</v>
      </c>
      <c r="C16" s="15">
        <v>0</v>
      </c>
      <c r="D16" s="15">
        <v>0</v>
      </c>
      <c r="E16" s="13">
        <f>-'Costi operativi'!B31*Ipotesi!C10</f>
        <v>0</v>
      </c>
      <c r="F16" s="13">
        <f>-'Costi operativi'!C31*Ipotesi!D10</f>
        <v>0</v>
      </c>
      <c r="G16" s="13">
        <f>-'Costi operativi'!D31*Ipotesi!E10</f>
        <v>0</v>
      </c>
      <c r="H16" s="13">
        <f>-'Costi operativi'!E31*Ipotesi!F10</f>
        <v>0</v>
      </c>
      <c r="I16" s="13">
        <f>-'Costi operativi'!F31*Ipotesi!G10</f>
        <v>0</v>
      </c>
      <c r="J16" s="13">
        <f>-'Costi operativi'!G31*Ipotesi!H10</f>
        <v>0</v>
      </c>
      <c r="K16" s="13">
        <f>-'Costi operativi'!H31*Ipotesi!I10</f>
        <v>0</v>
      </c>
      <c r="L16" s="13">
        <f>-'Costi operativi'!I31*Ipotesi!J10</f>
        <v>0</v>
      </c>
      <c r="M16" s="13">
        <f>-'Costi operativi'!J31*Ipotesi!K10</f>
        <v>0</v>
      </c>
      <c r="N16" s="13">
        <f>-'Costi operativi'!K31*Ipotesi!L10</f>
        <v>0</v>
      </c>
      <c r="O16" s="13">
        <f>-'Costi operativi'!L31*Ipotesi!M10</f>
        <v>0</v>
      </c>
      <c r="P16" s="13">
        <f>-'Costi operativi'!M31*Ipotesi!N10</f>
        <v>0</v>
      </c>
      <c r="Q16" s="13">
        <f>-'Costi operativi'!N31*Ipotesi!O10</f>
        <v>0</v>
      </c>
      <c r="R16" s="13">
        <f>-'Costi operativi'!O31*Ipotesi!P10</f>
        <v>0</v>
      </c>
      <c r="S16" s="13">
        <f>-'Costi operativi'!P31*Ipotesi!Q10</f>
        <v>0</v>
      </c>
      <c r="T16" s="13">
        <f>-'Costi operativi'!Q31*Ipotesi!R10</f>
        <v>0</v>
      </c>
      <c r="U16" s="13">
        <f>-'Costi operativi'!R31*Ipotesi!S10</f>
        <v>0</v>
      </c>
      <c r="V16" s="13">
        <f>-'Costi operativi'!S31*Ipotesi!T10</f>
        <v>0</v>
      </c>
      <c r="W16" s="13">
        <f>-'Costi operativi'!T31*Ipotesi!U10</f>
        <v>0</v>
      </c>
      <c r="X16" s="13">
        <f>-'Costi operativi'!U31*Ipotesi!V10</f>
        <v>0</v>
      </c>
      <c r="Y16" s="13">
        <f>-'Costi operativi'!V31*Ipotesi!W10</f>
        <v>0</v>
      </c>
      <c r="Z16" s="13">
        <f>-'Costi operativi'!W31*Ipotesi!X10</f>
        <v>0</v>
      </c>
      <c r="AA16" s="13">
        <f>-'Costi operativi'!X31*Ipotesi!Y10</f>
        <v>0</v>
      </c>
      <c r="AB16" s="13">
        <f>-'Costi operativi'!Y31*Ipotesi!Z10</f>
        <v>0</v>
      </c>
      <c r="AC16" s="13">
        <f>-'Costi operativi'!Z31*Ipotesi!AA10</f>
        <v>0</v>
      </c>
      <c r="AD16" s="13">
        <f>-'Costi operativi'!AA31*Ipotesi!AB10</f>
        <v>0</v>
      </c>
      <c r="AE16" s="13">
        <f>-'Costi operativi'!AB31*Ipotesi!AC10</f>
        <v>0</v>
      </c>
      <c r="AF16" s="13">
        <f>-'Costi operativi'!AC31*Ipotesi!AD10</f>
        <v>0</v>
      </c>
      <c r="AG16" s="13">
        <f>-'Costi operativi'!AD31*Ipotesi!AE10</f>
        <v>0</v>
      </c>
      <c r="AH16" s="13">
        <f>-'Costi operativi'!AE31*Ipotesi!AF10</f>
        <v>0</v>
      </c>
      <c r="AI16" s="13">
        <f>-'Costi operativi'!AF31*Ipotesi!AG10</f>
        <v>0</v>
      </c>
      <c r="AK16" s="529"/>
    </row>
    <row r="17" spans="1:37" ht="6" customHeight="1" collapsed="1">
      <c r="A17" s="8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K17" s="529"/>
    </row>
    <row r="18" spans="1:37" ht="18" customHeight="1">
      <c r="A18" s="239" t="s">
        <v>55</v>
      </c>
      <c r="B18" s="240">
        <f t="shared" ref="B18:I18" si="6">B5+B9</f>
        <v>0</v>
      </c>
      <c r="C18" s="240">
        <f t="shared" si="6"/>
        <v>0</v>
      </c>
      <c r="D18" s="240">
        <f t="shared" si="6"/>
        <v>0</v>
      </c>
      <c r="E18" s="240">
        <f t="shared" si="6"/>
        <v>82881.285499999969</v>
      </c>
      <c r="F18" s="240">
        <f t="shared" si="6"/>
        <v>-441619.46529299999</v>
      </c>
      <c r="G18" s="240">
        <f t="shared" si="6"/>
        <v>-449126.99620298098</v>
      </c>
      <c r="H18" s="240">
        <f t="shared" si="6"/>
        <v>-456762.15513843158</v>
      </c>
      <c r="I18" s="240">
        <f t="shared" si="6"/>
        <v>-464527.11177578481</v>
      </c>
      <c r="J18" s="240">
        <f t="shared" ref="J18:X18" si="7">J5+J9</f>
        <v>-472424.07267597306</v>
      </c>
      <c r="K18" s="240">
        <f t="shared" si="7"/>
        <v>-480455.28191146464</v>
      </c>
      <c r="L18" s="240">
        <f t="shared" si="7"/>
        <v>-488623.02170395933</v>
      </c>
      <c r="M18" s="240">
        <f t="shared" si="7"/>
        <v>-496929.61307292664</v>
      </c>
      <c r="N18" s="240">
        <f t="shared" si="7"/>
        <v>-505377.41649516637</v>
      </c>
      <c r="O18" s="240">
        <f t="shared" si="7"/>
        <v>-513968.83257558418</v>
      </c>
      <c r="P18" s="240">
        <f t="shared" si="7"/>
        <v>-522706.30272936914</v>
      </c>
      <c r="Q18" s="240">
        <f t="shared" si="7"/>
        <v>-531592.30987576838</v>
      </c>
      <c r="R18" s="240">
        <f t="shared" si="7"/>
        <v>-540629.37914365635</v>
      </c>
      <c r="S18" s="240">
        <f t="shared" si="7"/>
        <v>-549820.07858909841</v>
      </c>
      <c r="T18" s="240">
        <f t="shared" si="7"/>
        <v>-559167.01992511307</v>
      </c>
      <c r="U18" s="240">
        <f t="shared" si="7"/>
        <v>-568672.85926384002</v>
      </c>
      <c r="V18" s="240">
        <f t="shared" si="7"/>
        <v>-578340.29787132517</v>
      </c>
      <c r="W18" s="240">
        <f t="shared" si="7"/>
        <v>-588172.08293513767</v>
      </c>
      <c r="X18" s="240">
        <f t="shared" si="7"/>
        <v>-598171.0083450349</v>
      </c>
      <c r="Y18" s="240">
        <f>Y5+Y9</f>
        <v>-608339.91548690037</v>
      </c>
      <c r="Z18" s="240">
        <f t="shared" ref="Z18:AI18" si="8">Z5+Z9</f>
        <v>-618681.6940501777</v>
      </c>
      <c r="AA18" s="240">
        <f t="shared" si="8"/>
        <v>-629199.28284903069</v>
      </c>
      <c r="AB18" s="240">
        <f t="shared" si="8"/>
        <v>-639895.67065746407</v>
      </c>
      <c r="AC18" s="240">
        <f t="shared" si="8"/>
        <v>-650773.89705864096</v>
      </c>
      <c r="AD18" s="240">
        <f t="shared" si="8"/>
        <v>-661837.05330863781</v>
      </c>
      <c r="AE18" s="240">
        <f t="shared" si="8"/>
        <v>-673088.28321488458</v>
      </c>
      <c r="AF18" s="240">
        <f t="shared" si="8"/>
        <v>-684530.7840295377</v>
      </c>
      <c r="AG18" s="240">
        <f t="shared" si="8"/>
        <v>-696167.80735803978</v>
      </c>
      <c r="AH18" s="240">
        <f t="shared" si="8"/>
        <v>-708002.66008312639</v>
      </c>
      <c r="AI18" s="240">
        <f t="shared" si="8"/>
        <v>-720038.70530453953</v>
      </c>
      <c r="AJ18" s="169"/>
      <c r="AK18" s="529"/>
    </row>
    <row r="19" spans="1:37" ht="18" customHeight="1">
      <c r="A19" s="8" t="s">
        <v>56</v>
      </c>
      <c r="B19" s="15">
        <v>0</v>
      </c>
      <c r="C19" s="15">
        <v>0</v>
      </c>
      <c r="D19" s="15">
        <v>0</v>
      </c>
      <c r="E19" s="13">
        <f>-'Imm.  Mat.'!E360-'Imm.  Imm.'!E147</f>
        <v>-18000</v>
      </c>
      <c r="F19" s="13">
        <f>-'Imm.  Mat.'!F360-'Imm.  Imm.'!F147</f>
        <v>-18000</v>
      </c>
      <c r="G19" s="13">
        <f>-'Imm.  Mat.'!G360-'Imm.  Imm.'!G147</f>
        <v>-18000</v>
      </c>
      <c r="H19" s="13">
        <f>-'Imm.  Mat.'!H360-'Imm.  Imm.'!H147</f>
        <v>-18000</v>
      </c>
      <c r="I19" s="13">
        <f>-'Imm.  Mat.'!I360-'Imm.  Imm.'!I147</f>
        <v>-18000</v>
      </c>
      <c r="J19" s="13">
        <f>-'Imm.  Mat.'!J360-'Imm.  Imm.'!J147</f>
        <v>0</v>
      </c>
      <c r="K19" s="13">
        <f>-'Imm.  Mat.'!K360-'Imm.  Imm.'!K147</f>
        <v>0</v>
      </c>
      <c r="L19" s="13">
        <f>-'Imm.  Mat.'!L360-'Imm.  Imm.'!L147</f>
        <v>0</v>
      </c>
      <c r="M19" s="13">
        <f>-'Imm.  Mat.'!M360-'Imm.  Imm.'!M147</f>
        <v>0</v>
      </c>
      <c r="N19" s="13">
        <f>-'Imm.  Mat.'!N360-'Imm.  Imm.'!N147</f>
        <v>0</v>
      </c>
      <c r="O19" s="13">
        <f>-'Imm.  Mat.'!O360-'Imm.  Imm.'!O147</f>
        <v>0</v>
      </c>
      <c r="P19" s="13">
        <f>-'Imm.  Mat.'!P360-'Imm.  Imm.'!P147</f>
        <v>0</v>
      </c>
      <c r="Q19" s="13">
        <f>-'Imm.  Mat.'!Q360-'Imm.  Imm.'!Q147</f>
        <v>0</v>
      </c>
      <c r="R19" s="13">
        <f>-'Imm.  Mat.'!R360-'Imm.  Imm.'!R147</f>
        <v>0</v>
      </c>
      <c r="S19" s="13">
        <f>-'Imm.  Mat.'!S360-'Imm.  Imm.'!S147</f>
        <v>0</v>
      </c>
      <c r="T19" s="13">
        <f>-'Imm.  Mat.'!T360-'Imm.  Imm.'!T147</f>
        <v>0</v>
      </c>
      <c r="U19" s="13">
        <f>-'Imm.  Mat.'!U360-'Imm.  Imm.'!U147</f>
        <v>0</v>
      </c>
      <c r="V19" s="13">
        <f>-'Imm.  Mat.'!V360-'Imm.  Imm.'!V147</f>
        <v>0</v>
      </c>
      <c r="W19" s="13">
        <f>-'Imm.  Mat.'!W360-'Imm.  Imm.'!W147</f>
        <v>0</v>
      </c>
      <c r="X19" s="13">
        <f>-'Imm.  Mat.'!X360-'Imm.  Imm.'!X147</f>
        <v>0</v>
      </c>
      <c r="Y19" s="13">
        <f>-'Imm.  Mat.'!Y360-'Imm.  Imm.'!Y147</f>
        <v>0</v>
      </c>
      <c r="Z19" s="13">
        <f>-'Imm.  Mat.'!Z360-'Imm.  Imm.'!Z147</f>
        <v>0</v>
      </c>
      <c r="AA19" s="13">
        <f>-'Imm.  Mat.'!AA360-'Imm.  Imm.'!AA147</f>
        <v>0</v>
      </c>
      <c r="AB19" s="13">
        <f>-'Imm.  Mat.'!AB360-'Imm.  Imm.'!AB147</f>
        <v>0</v>
      </c>
      <c r="AC19" s="13">
        <f>-'Imm.  Mat.'!AC360-'Imm.  Imm.'!AC147</f>
        <v>0</v>
      </c>
      <c r="AD19" s="13">
        <f>-'Imm.  Mat.'!AD360-'Imm.  Imm.'!AD147</f>
        <v>0</v>
      </c>
      <c r="AE19" s="13">
        <f>-'Imm.  Mat.'!AE360-'Imm.  Imm.'!AE147</f>
        <v>0</v>
      </c>
      <c r="AF19" s="13">
        <f>-'Imm.  Mat.'!AF360-'Imm.  Imm.'!AF147</f>
        <v>0</v>
      </c>
      <c r="AG19" s="13">
        <f>-'Imm.  Mat.'!AG360-'Imm.  Imm.'!AG147</f>
        <v>0</v>
      </c>
      <c r="AH19" s="13">
        <f>-'Imm.  Mat.'!AH360-'Imm.  Imm.'!AH147</f>
        <v>0</v>
      </c>
      <c r="AI19" s="13">
        <f>-'Imm.  Mat.'!AI360-'Imm.  Imm.'!AI147</f>
        <v>0</v>
      </c>
      <c r="AK19" s="529"/>
    </row>
    <row r="20" spans="1:37" ht="18" customHeight="1">
      <c r="A20" s="8" t="s">
        <v>57</v>
      </c>
      <c r="B20" s="15">
        <v>0</v>
      </c>
      <c r="C20" s="15">
        <v>0</v>
      </c>
      <c r="D20" s="15">
        <v>0</v>
      </c>
      <c r="E20" s="15">
        <f>-'Costi operativi'!B15*Ipotesi!C10</f>
        <v>-7144.1222222222241</v>
      </c>
      <c r="F20" s="15">
        <f>-'Costi operativi'!C15*Ipotesi!D10</f>
        <v>-14531.144600000003</v>
      </c>
      <c r="G20" s="15">
        <f>-'Costi operativi'!D15*Ipotesi!E10</f>
        <v>-14778.1740582</v>
      </c>
      <c r="H20" s="15">
        <f>-'Costi operativi'!E15*Ipotesi!F10</f>
        <v>-15029.403017189397</v>
      </c>
      <c r="I20" s="15">
        <f>-'Costi operativi'!F15*Ipotesi!G10</f>
        <v>-15284.902868481615</v>
      </c>
      <c r="J20" s="15">
        <f>-'Costi operativi'!G15*Ipotesi!H10</f>
        <v>-15544.7462172458</v>
      </c>
      <c r="K20" s="15">
        <f>-'Costi operativi'!H15*Ipotesi!I10</f>
        <v>-15809.006902938978</v>
      </c>
      <c r="L20" s="15">
        <f>-'Costi operativi'!I15*Ipotesi!J10</f>
        <v>-16077.760020288937</v>
      </c>
      <c r="M20" s="15">
        <f>-'Costi operativi'!J15*Ipotesi!K10</f>
        <v>-16351.081940633847</v>
      </c>
      <c r="N20" s="15">
        <f>-'Costi operativi'!K15*Ipotesi!L10</f>
        <v>-16629.050333624622</v>
      </c>
      <c r="O20" s="15">
        <f>-'Costi operativi'!L15*Ipotesi!M10</f>
        <v>-16911.744189296238</v>
      </c>
      <c r="P20" s="15">
        <f>-'Costi operativi'!M15*Ipotesi!N10</f>
        <v>-17199.243840514275</v>
      </c>
      <c r="Q20" s="15">
        <f>-'Costi operativi'!N15*Ipotesi!O10</f>
        <v>-17491.630985803018</v>
      </c>
      <c r="R20" s="15">
        <f>-'Costi operativi'!O15*Ipotesi!P10</f>
        <v>-17788.988712561666</v>
      </c>
      <c r="S20" s="15">
        <f>-'Costi operativi'!P15*Ipotesi!Q10</f>
        <v>-18091.401520675212</v>
      </c>
      <c r="T20" s="15">
        <f>-'Costi operativi'!Q15*Ipotesi!R10</f>
        <v>-18398.955346526687</v>
      </c>
      <c r="U20" s="15">
        <f>-'Costi operativi'!R15*Ipotesi!S10</f>
        <v>-18711.737587417643</v>
      </c>
      <c r="V20" s="15">
        <f>-'Costi operativi'!S15*Ipotesi!T10</f>
        <v>-19029.837126403741</v>
      </c>
      <c r="W20" s="15">
        <f>-'Costi operativi'!T15*Ipotesi!U10</f>
        <v>-19353.344357552603</v>
      </c>
      <c r="X20" s="15">
        <f>-'Costi operativi'!U15*Ipotesi!V10</f>
        <v>-19682.351211630994</v>
      </c>
      <c r="Y20" s="15">
        <f>-'Costi operativi'!V15*Ipotesi!W10</f>
        <v>-20016.95118222872</v>
      </c>
      <c r="Z20" s="15">
        <f>-'Costi operativi'!W15*Ipotesi!X10</f>
        <v>-20357.239352326607</v>
      </c>
      <c r="AA20" s="15">
        <f>-'Costi operativi'!X15*Ipotesi!Y10</f>
        <v>-20703.312421316157</v>
      </c>
      <c r="AB20" s="15">
        <f>-'Costi operativi'!Y15*Ipotesi!Z10</f>
        <v>-21055.268732478529</v>
      </c>
      <c r="AC20" s="15">
        <f>-'Costi operativi'!Z15*Ipotesi!AA10</f>
        <v>-21413.208300930663</v>
      </c>
      <c r="AD20" s="15">
        <f>-'Costi operativi'!AA15*Ipotesi!AB10</f>
        <v>-21777.23284204648</v>
      </c>
      <c r="AE20" s="15">
        <f>-'Costi operativi'!AB15*Ipotesi!AC10</f>
        <v>-22147.445800361271</v>
      </c>
      <c r="AF20" s="15">
        <f>-'Costi operativi'!AC15*Ipotesi!AD10</f>
        <v>-22523.952378967413</v>
      </c>
      <c r="AG20" s="15">
        <f>-'Costi operativi'!AD15*Ipotesi!AE10</f>
        <v>-22906.859569409855</v>
      </c>
      <c r="AH20" s="15">
        <f>-'Costi operativi'!AE15*Ipotesi!AF10</f>
        <v>-23296.276182089819</v>
      </c>
      <c r="AI20" s="15">
        <f>-'Costi operativi'!AF15*Ipotesi!AG10</f>
        <v>-23692.312877185348</v>
      </c>
      <c r="AK20" s="529"/>
    </row>
    <row r="21" spans="1:37" ht="18" customHeight="1">
      <c r="A21" s="8" t="s">
        <v>128</v>
      </c>
      <c r="B21" s="15">
        <v>0</v>
      </c>
      <c r="C21" s="15">
        <v>0</v>
      </c>
      <c r="D21" s="15">
        <v>0</v>
      </c>
      <c r="E21" s="15">
        <f>IF((SP!B29+Ipotesi!C7)&lt;Ipotesi!$B$7,-Ipotesi!C7,IF((SP!B29+Ipotesi!C7)=Ipotesi!$B$7,0,SP!B29-Ipotesi!$B$7))</f>
        <v>-3000</v>
      </c>
      <c r="F21" s="15">
        <f>IF((SP!C29+Ipotesi!D7)&lt;Ipotesi!$B$7,-Ipotesi!D7,IF((SP!C29+Ipotesi!D7)=Ipotesi!$B$7,0,SP!C29-Ipotesi!$B$7))</f>
        <v>-5000</v>
      </c>
      <c r="G21" s="15">
        <f>IF((SP!D29+Ipotesi!E7)&lt;Ipotesi!$B$7,-Ipotesi!E7,IF((SP!D29+Ipotesi!E7)=Ipotesi!$B$7,0,SP!D29-Ipotesi!$B$7))</f>
        <v>-5000</v>
      </c>
      <c r="H21" s="15">
        <f>IF((SP!E29+Ipotesi!F7)&lt;Ipotesi!$B$7,-Ipotesi!F7,IF((SP!E29+Ipotesi!F7)=Ipotesi!$B$7,0,SP!E29-Ipotesi!$B$7))</f>
        <v>-5000</v>
      </c>
      <c r="I21" s="15">
        <f>IF((SP!F29+Ipotesi!G7)&lt;Ipotesi!$B$7,-Ipotesi!G7,IF((SP!F29+Ipotesi!G7)=Ipotesi!$B$7,0,SP!F29-Ipotesi!$B$7))</f>
        <v>-5000</v>
      </c>
      <c r="J21" s="15">
        <f>IF((SP!G29+Ipotesi!H7)&lt;Ipotesi!$B$7,-Ipotesi!H7,IF((SP!G29+Ipotesi!H7)=Ipotesi!$B$7,0,SP!G29-Ipotesi!$B$7))</f>
        <v>-5000</v>
      </c>
      <c r="K21" s="15">
        <f>IF((SP!H29+Ipotesi!I7)&lt;Ipotesi!$B$7,-Ipotesi!I7,IF((SP!H29+Ipotesi!I7)=Ipotesi!$B$7,0,SP!H29-Ipotesi!$B$7))</f>
        <v>-5000</v>
      </c>
      <c r="L21" s="15">
        <f>IF((SP!I29+Ipotesi!J7)&lt;Ipotesi!$B$7,-Ipotesi!J7,IF((SP!I29+Ipotesi!J7)=Ipotesi!$B$7,0,SP!I29-Ipotesi!$B$7))</f>
        <v>-5000</v>
      </c>
      <c r="M21" s="15">
        <f>IF((SP!J29+Ipotesi!K7)&lt;Ipotesi!$B$7,-Ipotesi!K7,IF((SP!J29+Ipotesi!K7)=Ipotesi!$B$7,0,SP!J29-Ipotesi!$B$7))</f>
        <v>-5000</v>
      </c>
      <c r="N21" s="15">
        <f>IF((SP!K29+Ipotesi!L7)&lt;Ipotesi!$B$7,-Ipotesi!L7,IF((SP!K29+Ipotesi!L7)=Ipotesi!$B$7,0,SP!K29-Ipotesi!$B$7))</f>
        <v>-5000</v>
      </c>
      <c r="O21" s="15">
        <f>IF((SP!L29+Ipotesi!M7)&lt;Ipotesi!$B$7,-Ipotesi!M7,IF((SP!L29+Ipotesi!M7)=Ipotesi!$B$7,0,SP!L29-Ipotesi!$B$7))</f>
        <v>-5000</v>
      </c>
      <c r="P21" s="15">
        <f>IF((SP!M29+Ipotesi!N7)&lt;Ipotesi!$B$7,-Ipotesi!N7,IF((SP!M29+Ipotesi!N7)=Ipotesi!$B$7,0,SP!M29-Ipotesi!$B$7))</f>
        <v>-5000</v>
      </c>
      <c r="Q21" s="15">
        <f>IF((SP!N29+Ipotesi!O7)&lt;Ipotesi!$B$7,-Ipotesi!O7,IF((SP!N29+Ipotesi!O7)=Ipotesi!$B$7,0,SP!N29-Ipotesi!$B$7))</f>
        <v>-5000</v>
      </c>
      <c r="R21" s="15">
        <f>IF((SP!O29+Ipotesi!P7)&lt;Ipotesi!$B$7,-Ipotesi!P7,IF((SP!O29+Ipotesi!P7)=Ipotesi!$B$7,0,SP!O29-Ipotesi!$B$7))</f>
        <v>-5000</v>
      </c>
      <c r="S21" s="15">
        <f>IF((SP!P29+Ipotesi!Q7)&lt;Ipotesi!$B$7,-Ipotesi!Q7,IF((SP!P29+Ipotesi!Q7)=Ipotesi!$B$7,0,SP!P29-Ipotesi!$B$7))</f>
        <v>-5000</v>
      </c>
      <c r="T21" s="15">
        <f>IF((SP!Q29+Ipotesi!R7)&lt;Ipotesi!$B$7,-Ipotesi!R7,IF((SP!Q29+Ipotesi!R7)=Ipotesi!$B$7,0,SP!Q29-Ipotesi!$B$7))</f>
        <v>-5000</v>
      </c>
      <c r="U21" s="15">
        <f>IF((SP!R29+Ipotesi!S7)&lt;Ipotesi!$B$7,-Ipotesi!S7,IF((SP!R29+Ipotesi!S7)=Ipotesi!$B$7,0,SP!R29-Ipotesi!$B$7))</f>
        <v>-5000</v>
      </c>
      <c r="V21" s="15">
        <f>IF((SP!S29+Ipotesi!T7)&lt;Ipotesi!$B$7,-Ipotesi!T7,IF((SP!S29+Ipotesi!T7)=Ipotesi!$B$7,0,SP!S29-Ipotesi!$B$7))</f>
        <v>-5000</v>
      </c>
      <c r="W21" s="15">
        <f>IF((SP!T29+Ipotesi!U7)&lt;Ipotesi!$B$7,-Ipotesi!U7,IF((SP!T29+Ipotesi!U7)=Ipotesi!$B$7,0,SP!T29-Ipotesi!$B$7))</f>
        <v>-5000</v>
      </c>
      <c r="X21" s="15">
        <f>IF((SP!U29+Ipotesi!V7)&lt;Ipotesi!$B$7,-Ipotesi!V7,IF((SP!U29+Ipotesi!V7)=Ipotesi!$B$7,0,SP!U29-Ipotesi!$B$7))</f>
        <v>-5000</v>
      </c>
      <c r="Y21" s="15">
        <f>IF((SP!V29+Ipotesi!W7)&lt;Ipotesi!$B$7,-Ipotesi!W7,IF((SP!V29+Ipotesi!W7)=Ipotesi!$B$7,0,SP!V29-Ipotesi!$B$7))</f>
        <v>-5000</v>
      </c>
      <c r="Z21" s="15">
        <f>IF((SP!W29+Ipotesi!X7)&lt;Ipotesi!$B$7,-Ipotesi!X7,IF((SP!W29+Ipotesi!X7)=Ipotesi!$B$7,0,SP!W29-Ipotesi!$B$7))</f>
        <v>-5000</v>
      </c>
      <c r="AA21" s="15">
        <f>IF((SP!X29+Ipotesi!Y7)&lt;Ipotesi!$B$7,-Ipotesi!Y7,IF((SP!X29+Ipotesi!Y7)=Ipotesi!$B$7,0,SP!X29-Ipotesi!$B$7))</f>
        <v>-5000</v>
      </c>
      <c r="AB21" s="15">
        <f>IF((SP!Y29+Ipotesi!Z7)&lt;Ipotesi!$B$7,-Ipotesi!Z7,IF((SP!Y29+Ipotesi!Z7)=Ipotesi!$B$7,0,SP!Y29-Ipotesi!$B$7))</f>
        <v>-5000</v>
      </c>
      <c r="AC21" s="15">
        <f>IF((SP!Z29+Ipotesi!AA7)&lt;Ipotesi!$B$7,-Ipotesi!AA7,IF((SP!Z29+Ipotesi!AA7)=Ipotesi!$B$7,0,SP!Z29-Ipotesi!$B$7))</f>
        <v>-5000</v>
      </c>
      <c r="AD21" s="15">
        <f>IF((SP!AA29+Ipotesi!AB7)&lt;Ipotesi!$B$7,-Ipotesi!AB7,IF((SP!AA29+Ipotesi!AB7)=Ipotesi!$B$7,0,SP!AA29-Ipotesi!$B$7))</f>
        <v>-5000</v>
      </c>
      <c r="AE21" s="15">
        <f>IF((SP!AB29+Ipotesi!AC7)&lt;Ipotesi!$B$7,-Ipotesi!AC7,IF((SP!AB29+Ipotesi!AC7)=Ipotesi!$B$7,0,SP!AB29-Ipotesi!$B$7))</f>
        <v>-5000</v>
      </c>
      <c r="AF21" s="15">
        <f>IF((SP!AC29+Ipotesi!AD7)&lt;Ipotesi!$B$7,-Ipotesi!AD7,IF((SP!AC29+Ipotesi!AD7)=Ipotesi!$B$7,0,SP!AC29-Ipotesi!$B$7))</f>
        <v>-5000</v>
      </c>
      <c r="AG21" s="15">
        <f>IF((SP!AD29+Ipotesi!AE7)&lt;Ipotesi!$B$7,-Ipotesi!AE7,IF((SP!AD29+Ipotesi!AE7)=Ipotesi!$B$7,0,SP!AD29-Ipotesi!$B$7))</f>
        <v>-5000</v>
      </c>
      <c r="AH21" s="15">
        <f>IF((SP!AE29+Ipotesi!AF7)&lt;Ipotesi!$B$7,-Ipotesi!AF7,IF((SP!AE29+Ipotesi!AF7)=Ipotesi!$B$7,0,SP!AE29-Ipotesi!$B$7))</f>
        <v>-5000</v>
      </c>
      <c r="AI21" s="15">
        <f>IF((SP!AF29+Ipotesi!AG7)&lt;Ipotesi!$B$7,-Ipotesi!AG7,IF((SP!AF29+Ipotesi!AG7)=Ipotesi!$B$7,0,SP!AF29-Ipotesi!$B$7))</f>
        <v>-5000</v>
      </c>
      <c r="AK21" s="529"/>
    </row>
    <row r="22" spans="1:37" ht="6" customHeight="1">
      <c r="A22" s="8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K22" s="529"/>
    </row>
    <row r="23" spans="1:37" ht="18" customHeight="1">
      <c r="A23" s="241" t="s">
        <v>123</v>
      </c>
      <c r="B23" s="240">
        <f t="shared" ref="B23:I23" si="9">B18+B19+B20+B21</f>
        <v>0</v>
      </c>
      <c r="C23" s="240">
        <f t="shared" si="9"/>
        <v>0</v>
      </c>
      <c r="D23" s="240">
        <f t="shared" si="9"/>
        <v>0</v>
      </c>
      <c r="E23" s="240">
        <f t="shared" si="9"/>
        <v>54737.163277777741</v>
      </c>
      <c r="F23" s="240">
        <f t="shared" si="9"/>
        <v>-479150.60989299999</v>
      </c>
      <c r="G23" s="240">
        <f t="shared" si="9"/>
        <v>-486905.17026118096</v>
      </c>
      <c r="H23" s="240">
        <f t="shared" si="9"/>
        <v>-494791.55815562099</v>
      </c>
      <c r="I23" s="240">
        <f t="shared" si="9"/>
        <v>-502812.01464426646</v>
      </c>
      <c r="J23" s="240">
        <f t="shared" ref="J23:AI23" si="10">J18+J19+J20+J21</f>
        <v>-492968.81889321888</v>
      </c>
      <c r="K23" s="240">
        <f t="shared" si="10"/>
        <v>-501264.28881440364</v>
      </c>
      <c r="L23" s="240">
        <f t="shared" si="10"/>
        <v>-509700.78172424826</v>
      </c>
      <c r="M23" s="240">
        <f t="shared" si="10"/>
        <v>-518280.69501356047</v>
      </c>
      <c r="N23" s="240">
        <f t="shared" si="10"/>
        <v>-527006.46682879096</v>
      </c>
      <c r="O23" s="240">
        <f t="shared" si="10"/>
        <v>-535880.57676488045</v>
      </c>
      <c r="P23" s="240">
        <f t="shared" si="10"/>
        <v>-544905.54656988336</v>
      </c>
      <c r="Q23" s="240">
        <f t="shared" si="10"/>
        <v>-554083.94086157135</v>
      </c>
      <c r="R23" s="240">
        <f t="shared" si="10"/>
        <v>-563418.36785621801</v>
      </c>
      <c r="S23" s="240">
        <f t="shared" si="10"/>
        <v>-572911.48010977358</v>
      </c>
      <c r="T23" s="240">
        <f t="shared" si="10"/>
        <v>-582565.97527163976</v>
      </c>
      <c r="U23" s="240">
        <f t="shared" si="10"/>
        <v>-592384.59685125761</v>
      </c>
      <c r="V23" s="240">
        <f t="shared" si="10"/>
        <v>-602370.13499772886</v>
      </c>
      <c r="W23" s="240">
        <f t="shared" si="10"/>
        <v>-612525.42729269026</v>
      </c>
      <c r="X23" s="240">
        <f t="shared" si="10"/>
        <v>-622853.35955666588</v>
      </c>
      <c r="Y23" s="240">
        <f>Y18+Y19+Y20+Y21</f>
        <v>-633356.86666912911</v>
      </c>
      <c r="Z23" s="240">
        <f t="shared" si="10"/>
        <v>-644038.93340250431</v>
      </c>
      <c r="AA23" s="240">
        <f>AA18+AA19+AA20+AA21</f>
        <v>-654902.59527034685</v>
      </c>
      <c r="AB23" s="240">
        <f t="shared" si="10"/>
        <v>-665950.93938994256</v>
      </c>
      <c r="AC23" s="240">
        <f t="shared" si="10"/>
        <v>-677187.10535957164</v>
      </c>
      <c r="AD23" s="240">
        <f t="shared" si="10"/>
        <v>-688614.28615068435</v>
      </c>
      <c r="AE23" s="240">
        <f t="shared" si="10"/>
        <v>-700235.7290152458</v>
      </c>
      <c r="AF23" s="240">
        <f t="shared" si="10"/>
        <v>-712054.73640850512</v>
      </c>
      <c r="AG23" s="240">
        <f t="shared" si="10"/>
        <v>-724074.66692744964</v>
      </c>
      <c r="AH23" s="240">
        <f t="shared" si="10"/>
        <v>-736298.93626521621</v>
      </c>
      <c r="AI23" s="240">
        <f t="shared" si="10"/>
        <v>-748731.01818172482</v>
      </c>
      <c r="AJ23" s="169"/>
      <c r="AK23" s="529"/>
    </row>
    <row r="24" spans="1:37" ht="18" customHeight="1">
      <c r="A24" s="8" t="s">
        <v>909</v>
      </c>
      <c r="B24" s="13">
        <v>0</v>
      </c>
      <c r="C24" s="13">
        <v>0</v>
      </c>
      <c r="D24" s="13">
        <v>0</v>
      </c>
      <c r="E24" s="13">
        <f>+Ricavi!B12*Ipotesi!C10</f>
        <v>0</v>
      </c>
      <c r="F24" s="13">
        <f>+Ricavi!C12*Ipotesi!D10</f>
        <v>508499.99999999994</v>
      </c>
      <c r="G24" s="13">
        <f>+Ricavi!D12*Ipotesi!E10</f>
        <v>517144.49999999988</v>
      </c>
      <c r="H24" s="13">
        <f>+Ricavi!E12*Ipotesi!F10</f>
        <v>525935.95649999985</v>
      </c>
      <c r="I24" s="13">
        <f>+Ricavi!F12*Ipotesi!G10</f>
        <v>534876.86776049971</v>
      </c>
      <c r="J24" s="13">
        <f>+Ricavi!G12*Ipotesi!H10</f>
        <v>543969.77451242809</v>
      </c>
      <c r="K24" s="13">
        <f>+Ricavi!H12*Ipotesi!I10</f>
        <v>553217.26067913929</v>
      </c>
      <c r="L24" s="13">
        <f>+Ricavi!I12*Ipotesi!J10</f>
        <v>562621.95411068457</v>
      </c>
      <c r="M24" s="13">
        <f>+Ricavi!J12*Ipotesi!K10</f>
        <v>572186.5273305662</v>
      </c>
      <c r="N24" s="13">
        <f>+Ricavi!K12*Ipotesi!L10</f>
        <v>581913.69829518581</v>
      </c>
      <c r="O24" s="13">
        <f>+Ricavi!L12*Ipotesi!M10</f>
        <v>591806.23116620386</v>
      </c>
      <c r="P24" s="13">
        <f>+Ricavi!M12*Ipotesi!N10</f>
        <v>601866.93709602929</v>
      </c>
      <c r="Q24" s="13">
        <f>+Ricavi!N12*Ipotesi!O10</f>
        <v>612098.67502666183</v>
      </c>
      <c r="R24" s="13">
        <f>+Ricavi!O12*Ipotesi!P10</f>
        <v>622504.35250211495</v>
      </c>
      <c r="S24" s="13">
        <f>+Ricavi!P12*Ipotesi!Q10</f>
        <v>633086.92649465089</v>
      </c>
      <c r="T24" s="13">
        <f>+Ricavi!Q12*Ipotesi!R10</f>
        <v>643849.40424505982</v>
      </c>
      <c r="U24" s="13">
        <f>+Ricavi!R12*Ipotesi!S10</f>
        <v>654794.84411722585</v>
      </c>
      <c r="V24" s="13">
        <f>+Ricavi!S12*Ipotesi!T10</f>
        <v>665926.3564672186</v>
      </c>
      <c r="W24" s="13">
        <f>+Ricavi!T12*Ipotesi!U10</f>
        <v>677247.10452716134</v>
      </c>
      <c r="X24" s="13">
        <f>+Ricavi!U12*Ipotesi!V10</f>
        <v>688760.30530412297</v>
      </c>
      <c r="Y24" s="13">
        <f>+Ricavi!V12*Ipotesi!W10</f>
        <v>700469.23049429304</v>
      </c>
      <c r="Z24" s="13">
        <f>+Ricavi!W12*Ipotesi!X10</f>
        <v>712377.20741269598</v>
      </c>
      <c r="AA24" s="13">
        <f>+Ricavi!X12*Ipotesi!Y10</f>
        <v>724487.61993871164</v>
      </c>
      <c r="AB24" s="13">
        <f>+Ricavi!Y12*Ipotesi!Z10</f>
        <v>736803.90947766975</v>
      </c>
      <c r="AC24" s="13">
        <f>+Ricavi!Z12*Ipotesi!AA10</f>
        <v>749329.57593878999</v>
      </c>
      <c r="AD24" s="13">
        <f>+Ricavi!AA12*Ipotesi!AB10</f>
        <v>762068.1787297494</v>
      </c>
      <c r="AE24" s="13">
        <f>+Ricavi!AB12*Ipotesi!AC10</f>
        <v>775023.33776815515</v>
      </c>
      <c r="AF24" s="13">
        <f>+Ricavi!AC12*Ipotesi!AD10</f>
        <v>788198.73451021372</v>
      </c>
      <c r="AG24" s="13">
        <f>+Ricavi!AD12*Ipotesi!AE10</f>
        <v>801598.1129968873</v>
      </c>
      <c r="AH24" s="13">
        <f>+Ricavi!AE12*Ipotesi!AF10</f>
        <v>815225.28091783426</v>
      </c>
      <c r="AI24" s="13">
        <f>+Ricavi!AF12*Ipotesi!AG10</f>
        <v>829084.11069343751</v>
      </c>
      <c r="AK24" s="529"/>
    </row>
    <row r="25" spans="1:37" ht="18" customHeight="1">
      <c r="A25" s="8" t="s">
        <v>594</v>
      </c>
      <c r="B25" s="13">
        <v>0</v>
      </c>
      <c r="C25" s="13">
        <v>0</v>
      </c>
      <c r="D25" s="13">
        <v>0</v>
      </c>
      <c r="E25" s="13">
        <f ca="1">IF(AVERAGE(CF!C39:C40)&gt;0,AVERAGE(CF!C39:C40)*Ipotesi!C14,AVERAGE(CF!C39:C40)*Ipotesi!C15)</f>
        <v>797.18342906259443</v>
      </c>
      <c r="F25" s="13">
        <f ca="1">IF(AVERAGE(CF!D39:D40)&gt;0,AVERAGE(CF!D39:D40)*Ipotesi!D14,AVERAGE(CF!D39:D40)*Ipotesi!D15)</f>
        <v>2506.9284496209807</v>
      </c>
      <c r="G25" s="13">
        <f ca="1">IF(AVERAGE(CF!E39:E40)&gt;0,AVERAGE(CF!E39:E40)*Ipotesi!E14,AVERAGE(CF!E39:E40)*Ipotesi!E15)</f>
        <v>4355.1436611171566</v>
      </c>
      <c r="H25" s="13">
        <f ca="1">IF(AVERAGE(CF!F39:F40)&gt;0,AVERAGE(CF!F39:F40)*Ipotesi!F14,AVERAGE(CF!F39:F40)*Ipotesi!F15)</f>
        <v>6211.4980441099815</v>
      </c>
      <c r="I25" s="13">
        <f ca="1">IF(AVERAGE(CF!G39:G40)&gt;0,AVERAGE(CF!G39:G40)*Ipotesi!G14,AVERAGE(CF!G39:G40)*Ipotesi!G15)</f>
        <v>8140.953717954807</v>
      </c>
      <c r="J25" s="13">
        <f ca="1">IF(AVERAGE(CF!H39:H40)&gt;0,AVERAGE(CF!H39:H40)*Ipotesi!H14,AVERAGE(CF!H39:H40)*Ipotesi!H15)</f>
        <v>10197.662998188076</v>
      </c>
      <c r="K25" s="13">
        <f ca="1">IF(AVERAGE(CF!I39:I40)&gt;0,AVERAGE(CF!I39:I40)*Ipotesi!I14,AVERAGE(CF!I39:I40)*Ipotesi!I15)</f>
        <v>11917.750518783476</v>
      </c>
      <c r="L25" s="13">
        <f ca="1">IF(AVERAGE(CF!J39:J40)&gt;0,AVERAGE(CF!J39:J40)*Ipotesi!J14,AVERAGE(CF!J39:J40)*Ipotesi!J15)</f>
        <v>13710.409092245973</v>
      </c>
      <c r="M25" s="13">
        <f ca="1">IF(AVERAGE(CF!K39:K40)&gt;0,AVERAGE(CF!K39:K40)*Ipotesi!K14,AVERAGE(CF!K39:K40)*Ipotesi!K15)</f>
        <v>15994.027226009212</v>
      </c>
      <c r="N25" s="13">
        <f ca="1">IF(AVERAGE(CF!L39:L40)&gt;0,AVERAGE(CF!L39:L40)*Ipotesi!L14,AVERAGE(CF!L39:L40)*Ipotesi!L15)</f>
        <v>18364.031550196425</v>
      </c>
      <c r="O25" s="13">
        <f ca="1">IF(AVERAGE(CF!M39:M40)&gt;0,AVERAGE(CF!M39:M40)*Ipotesi!M14,AVERAGE(CF!M39:M40)*Ipotesi!M15)</f>
        <v>20822.958418439732</v>
      </c>
      <c r="P25" s="13">
        <f ca="1">IF(AVERAGE(CF!N39:N40)&gt;0,AVERAGE(CF!N39:N40)*Ipotesi!N14,AVERAGE(CF!N39:N40)*Ipotesi!N15)</f>
        <v>22682.473672448035</v>
      </c>
      <c r="Q25" s="13">
        <f ca="1">IF(AVERAGE(CF!O39:O40)&gt;0,AVERAGE(CF!O39:O40)*Ipotesi!O14,AVERAGE(CF!O39:O40)*Ipotesi!O15)</f>
        <v>24620.676136701906</v>
      </c>
      <c r="R25" s="13">
        <f ca="1">IF(AVERAGE(CF!P39:P40)&gt;0,AVERAGE(CF!P39:P40)*Ipotesi!P14,AVERAGE(CF!P39:P40)*Ipotesi!P15)</f>
        <v>27330.897900242941</v>
      </c>
      <c r="S25" s="13">
        <f ca="1">IF(AVERAGE(CF!Q39:Q40)&gt;0,AVERAGE(CF!Q39:Q40)*Ipotesi!Q14,AVERAGE(CF!Q39:Q40)*Ipotesi!Q15)</f>
        <v>30140.171267697453</v>
      </c>
      <c r="T25" s="13">
        <f ca="1">IF(AVERAGE(CF!R39:R40)&gt;0,AVERAGE(CF!R39:R40)*Ipotesi!R14,AVERAGE(CF!R39:R40)*Ipotesi!R15)</f>
        <v>33051.369425577919</v>
      </c>
      <c r="U25" s="13">
        <f ca="1">IF(AVERAGE(CF!S39:S40)&gt;0,AVERAGE(CF!S39:S40)*Ipotesi!S14,AVERAGE(CF!S39:S40)*Ipotesi!S15)</f>
        <v>35156.97166172682</v>
      </c>
      <c r="V25" s="13">
        <f ca="1">IF(AVERAGE(CF!T39:T40)&gt;0,AVERAGE(CF!T39:T40)*Ipotesi!T14,AVERAGE(CF!T39:T40)*Ipotesi!T15)</f>
        <v>37350.034276702587</v>
      </c>
      <c r="W25" s="13">
        <f ca="1">IF(AVERAGE(CF!U39:U40)&gt;0,AVERAGE(CF!U39:U40)*Ipotesi!U14,AVERAGE(CF!U39:U40)*Ipotesi!U15)</f>
        <v>40543.673379164393</v>
      </c>
      <c r="X25" s="13">
        <f ca="1">IF(AVERAGE(CF!V39:V40)&gt;0,AVERAGE(CF!V39:V40)*Ipotesi!V14,AVERAGE(CF!V39:V40)*Ipotesi!V15)</f>
        <v>43850.576522663549</v>
      </c>
      <c r="Y25" s="13">
        <f ca="1">IF(AVERAGE(CF!W39:W40)&gt;0,AVERAGE(CF!W39:W40)*Ipotesi!W14,AVERAGE(CF!W39:W40)*Ipotesi!W15)</f>
        <v>47336.92551257911</v>
      </c>
      <c r="Z25" s="13">
        <f ca="1">IF(AVERAGE(CF!X39:X40)&gt;0,AVERAGE(CF!X39:X40)*Ipotesi!X14,AVERAGE(CF!X39:X40)*Ipotesi!X15)</f>
        <v>49849.221754394945</v>
      </c>
      <c r="AA25" s="13">
        <f ca="1">IF(AVERAGE(CF!Y39:Y40)&gt;0,AVERAGE(CF!Y39:Y40)*Ipotesi!Y14,AVERAGE(CF!Y39:Y40)*Ipotesi!Y15)</f>
        <v>52399.798330805417</v>
      </c>
      <c r="AB25" s="13">
        <f ca="1">IF(AVERAGE(CF!Z39:Z40)&gt;0,AVERAGE(CF!Z39:Z40)*Ipotesi!Z14,AVERAGE(CF!Z39:Z40)*Ipotesi!Z15)</f>
        <v>56148.522140014858</v>
      </c>
      <c r="AC25" s="13">
        <f ca="1">IF(AVERAGE(CF!AA39:AA40)&gt;0,AVERAGE(CF!AA39:AA40)*Ipotesi!AA14,AVERAGE(CF!AA39:AA40)*Ipotesi!AA15)</f>
        <v>60026.664095900574</v>
      </c>
      <c r="AD25" s="13">
        <f ca="1">IF(AVERAGE(CF!AB39:AB40)&gt;0,AVERAGE(CF!AB39:AB40)*Ipotesi!AB14,AVERAGE(CF!AB39:AB40)*Ipotesi!AB15)</f>
        <v>64037.898990433285</v>
      </c>
      <c r="AE25" s="13">
        <f ca="1">IF(AVERAGE(CF!AC39:AC40)&gt;0,AVERAGE(CF!AC39:AC40)*Ipotesi!AC14,AVERAGE(CF!AC39:AC40)*Ipotesi!AC15)</f>
        <v>66922.633708663852</v>
      </c>
      <c r="AF25" s="13">
        <f ca="1">IF(AVERAGE(CF!AD39:AD40)&gt;0,AVERAGE(CF!AD39:AD40)*Ipotesi!AD14,AVERAGE(CF!AD39:AD40)*Ipotesi!AD15)</f>
        <v>69919.738566413056</v>
      </c>
      <c r="AG25" s="13">
        <f ca="1">IF(AVERAGE(CF!AE39:AE40)&gt;0,AVERAGE(CF!AE39:AE40)*Ipotesi!AE14,AVERAGE(CF!AE39:AE40)*Ipotesi!AE15)</f>
        <v>74295.909038954051</v>
      </c>
      <c r="AH25" s="13">
        <f ca="1">IF(AVERAGE(CF!AF39:AF40)&gt;0,AVERAGE(CF!AF39:AF40)*Ipotesi!AF14,AVERAGE(CF!AF39:AF40)*Ipotesi!AF15)</f>
        <v>78819.563675536367</v>
      </c>
      <c r="AI25" s="13">
        <f ca="1">IF(AVERAGE(CF!AG39:AG40)&gt;0,AVERAGE(CF!AG39:AG40)*Ipotesi!AG14,AVERAGE(CF!AG39:AG40)*Ipotesi!AG15)</f>
        <v>83494.850501473324</v>
      </c>
      <c r="AK25" s="529"/>
    </row>
    <row r="26" spans="1:37" ht="6" customHeight="1">
      <c r="A26" s="8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K26" s="529"/>
    </row>
    <row r="27" spans="1:37" ht="18" customHeight="1">
      <c r="A27" s="241" t="s">
        <v>124</v>
      </c>
      <c r="B27" s="240">
        <f t="shared" ref="B27:H27" si="11">B23+B24+B25</f>
        <v>0</v>
      </c>
      <c r="C27" s="240">
        <f t="shared" si="11"/>
        <v>0</v>
      </c>
      <c r="D27" s="240">
        <f t="shared" si="11"/>
        <v>0</v>
      </c>
      <c r="E27" s="240">
        <f ca="1">E23+E24+E25</f>
        <v>55534.346706840333</v>
      </c>
      <c r="F27" s="240">
        <f t="shared" ca="1" si="11"/>
        <v>31856.318556620936</v>
      </c>
      <c r="G27" s="240">
        <f t="shared" ca="1" si="11"/>
        <v>34594.473399936083</v>
      </c>
      <c r="H27" s="240">
        <f t="shared" ca="1" si="11"/>
        <v>37355.896388488844</v>
      </c>
      <c r="I27" s="240">
        <f t="shared" ref="I27:X27" ca="1" si="12">I23+I24+I25</f>
        <v>40205.806834188057</v>
      </c>
      <c r="J27" s="240">
        <f t="shared" ca="1" si="12"/>
        <v>61198.618617397289</v>
      </c>
      <c r="K27" s="240">
        <f t="shared" ca="1" si="12"/>
        <v>63870.722383519125</v>
      </c>
      <c r="L27" s="240">
        <f t="shared" ca="1" si="12"/>
        <v>66631.581478682288</v>
      </c>
      <c r="M27" s="240">
        <f t="shared" ca="1" si="12"/>
        <v>69899.859543014943</v>
      </c>
      <c r="N27" s="240">
        <f t="shared" ca="1" si="12"/>
        <v>73271.263016591271</v>
      </c>
      <c r="O27" s="240">
        <f t="shared" ca="1" si="12"/>
        <v>76748.612819763133</v>
      </c>
      <c r="P27" s="240">
        <f t="shared" ca="1" si="12"/>
        <v>79643.864198593961</v>
      </c>
      <c r="Q27" s="240">
        <f t="shared" ca="1" si="12"/>
        <v>82635.410301792392</v>
      </c>
      <c r="R27" s="240">
        <f t="shared" ca="1" si="12"/>
        <v>86416.882546139881</v>
      </c>
      <c r="S27" s="240">
        <f t="shared" ca="1" si="12"/>
        <v>90315.617652574772</v>
      </c>
      <c r="T27" s="240">
        <f t="shared" ca="1" si="12"/>
        <v>94334.798398997984</v>
      </c>
      <c r="U27" s="240">
        <f t="shared" ca="1" si="12"/>
        <v>97567.218927695067</v>
      </c>
      <c r="V27" s="240">
        <f t="shared" ca="1" si="12"/>
        <v>100906.25574619233</v>
      </c>
      <c r="W27" s="240">
        <f t="shared" ca="1" si="12"/>
        <v>105265.35061363547</v>
      </c>
      <c r="X27" s="240">
        <f t="shared" ca="1" si="12"/>
        <v>109757.52227012065</v>
      </c>
      <c r="Y27" s="240">
        <f t="shared" ref="Y27:AI27" ca="1" si="13">Y23+Y24+Y25</f>
        <v>114449.28933774303</v>
      </c>
      <c r="Z27" s="240">
        <f t="shared" ca="1" si="13"/>
        <v>118187.49576458661</v>
      </c>
      <c r="AA27" s="240">
        <f t="shared" ca="1" si="13"/>
        <v>121984.8229991702</v>
      </c>
      <c r="AB27" s="240">
        <f t="shared" ca="1" si="13"/>
        <v>127001.49222774204</v>
      </c>
      <c r="AC27" s="240">
        <f t="shared" ca="1" si="13"/>
        <v>132169.13467511893</v>
      </c>
      <c r="AD27" s="240">
        <f t="shared" ca="1" si="13"/>
        <v>137491.79156949834</v>
      </c>
      <c r="AE27" s="240">
        <f t="shared" ca="1" si="13"/>
        <v>141710.24246157322</v>
      </c>
      <c r="AF27" s="240">
        <f t="shared" ca="1" si="13"/>
        <v>146063.73666812165</v>
      </c>
      <c r="AG27" s="240">
        <f t="shared" ca="1" si="13"/>
        <v>151819.35510839173</v>
      </c>
      <c r="AH27" s="240">
        <f t="shared" ca="1" si="13"/>
        <v>157745.90832815442</v>
      </c>
      <c r="AI27" s="240">
        <f t="shared" ca="1" si="13"/>
        <v>163847.94301318601</v>
      </c>
      <c r="AJ27" s="169"/>
      <c r="AK27" s="529"/>
    </row>
    <row r="28" spans="1:37" ht="18" customHeight="1">
      <c r="A28" s="8" t="s">
        <v>125</v>
      </c>
      <c r="B28" s="13">
        <v>0</v>
      </c>
      <c r="C28" s="13">
        <v>0</v>
      </c>
      <c r="D28" s="13">
        <v>0</v>
      </c>
      <c r="E28" s="13">
        <f ca="1">-E38</f>
        <v>-7731.5936582229415</v>
      </c>
      <c r="F28" s="13">
        <f ca="1">-F38</f>
        <v>-9723.8013969014537</v>
      </c>
      <c r="G28" s="13">
        <f ca="1">-G38</f>
        <v>-10308.071351890459</v>
      </c>
      <c r="H28" s="13">
        <f ca="1">-H38</f>
        <v>-10896.220969468593</v>
      </c>
      <c r="I28" s="13">
        <f t="shared" ref="I28:X28" ca="1" si="14">-I38</f>
        <v>-11505.170379794246</v>
      </c>
      <c r="J28" s="13">
        <f t="shared" ca="1" si="14"/>
        <v>-12149.029673678036</v>
      </c>
      <c r="K28" s="13">
        <f t="shared" ca="1" si="14"/>
        <v>-12707.222263033374</v>
      </c>
      <c r="L28" s="13">
        <f t="shared" ca="1" si="14"/>
        <v>-13286.169813312168</v>
      </c>
      <c r="M28" s="13">
        <f t="shared" ca="1" si="14"/>
        <v>-13994.68540672919</v>
      </c>
      <c r="N28" s="13">
        <f t="shared" ca="1" si="14"/>
        <v>-14727.612582593301</v>
      </c>
      <c r="O28" s="13">
        <f t="shared" ca="1" si="14"/>
        <v>-15485.643962788778</v>
      </c>
      <c r="P28" s="13">
        <f t="shared" ca="1" si="14"/>
        <v>-16089.846399988841</v>
      </c>
      <c r="Q28" s="13">
        <f t="shared" ca="1" si="14"/>
        <v>-16716.55989586244</v>
      </c>
      <c r="R28" s="13">
        <f t="shared" ca="1" si="14"/>
        <v>-17546.085684088546</v>
      </c>
      <c r="S28" s="13">
        <f t="shared" ca="1" si="14"/>
        <v>-18403.487647537149</v>
      </c>
      <c r="T28" s="13">
        <f t="shared" ca="1" si="14"/>
        <v>-19289.548901590977</v>
      </c>
      <c r="U28" s="13">
        <f t="shared" ca="1" si="14"/>
        <v>-19968.350761455684</v>
      </c>
      <c r="V28" s="13">
        <f t="shared" ca="1" si="14"/>
        <v>-20672.125189549297</v>
      </c>
      <c r="W28" s="13">
        <f t="shared" ca="1" si="14"/>
        <v>-21638.320332908679</v>
      </c>
      <c r="X28" s="13">
        <f t="shared" ca="1" si="14"/>
        <v>-22636.273559541998</v>
      </c>
      <c r="Y28" s="13">
        <f t="shared" ref="Y28:AI28" ca="1" si="15">-Y38</f>
        <v>-23683.231399202086</v>
      </c>
      <c r="Z28" s="13">
        <f t="shared" ca="1" si="15"/>
        <v>-24479.324145095037</v>
      </c>
      <c r="AA28" s="13">
        <f t="shared" ca="1" si="15"/>
        <v>-25287.799005273948</v>
      </c>
      <c r="AB28" s="13">
        <f t="shared" ca="1" si="15"/>
        <v>-26410.2626701359</v>
      </c>
      <c r="AC28" s="13">
        <f t="shared" ca="1" si="15"/>
        <v>-27568.887576199631</v>
      </c>
      <c r="AD28" s="13">
        <f t="shared" ca="1" si="15"/>
        <v>-28764.671882269649</v>
      </c>
      <c r="AE28" s="13">
        <f t="shared" ca="1" si="15"/>
        <v>-29670.164817470464</v>
      </c>
      <c r="AF28" s="13">
        <f t="shared" ca="1" si="15"/>
        <v>-30607.516841389959</v>
      </c>
      <c r="AG28" s="13">
        <f t="shared" ca="1" si="15"/>
        <v>-31906.113706090699</v>
      </c>
      <c r="AH28" s="13">
        <f t="shared" ca="1" si="15"/>
        <v>-33245.789926653466</v>
      </c>
      <c r="AI28" s="13">
        <f t="shared" ca="1" si="15"/>
        <v>-34627.670458704313</v>
      </c>
      <c r="AK28" s="529"/>
    </row>
    <row r="29" spans="1:37" ht="18" customHeight="1">
      <c r="A29" s="241" t="s">
        <v>126</v>
      </c>
      <c r="B29" s="240">
        <f t="shared" ref="B29:X29" si="16">B27+B28</f>
        <v>0</v>
      </c>
      <c r="C29" s="240">
        <f t="shared" si="16"/>
        <v>0</v>
      </c>
      <c r="D29" s="240">
        <f t="shared" si="16"/>
        <v>0</v>
      </c>
      <c r="E29" s="240">
        <f t="shared" ca="1" si="16"/>
        <v>47802.753048617393</v>
      </c>
      <c r="F29" s="240">
        <f t="shared" ca="1" si="16"/>
        <v>22132.517159719482</v>
      </c>
      <c r="G29" s="240">
        <f t="shared" ca="1" si="16"/>
        <v>24286.402048045624</v>
      </c>
      <c r="H29" s="240">
        <f t="shared" ca="1" si="16"/>
        <v>26459.675419020248</v>
      </c>
      <c r="I29" s="240">
        <f t="shared" ca="1" si="16"/>
        <v>28700.636454393811</v>
      </c>
      <c r="J29" s="240">
        <f t="shared" ca="1" si="16"/>
        <v>49049.588943719253</v>
      </c>
      <c r="K29" s="240">
        <f t="shared" ca="1" si="16"/>
        <v>51163.500120485754</v>
      </c>
      <c r="L29" s="240">
        <f t="shared" ca="1" si="16"/>
        <v>53345.41166537012</v>
      </c>
      <c r="M29" s="240">
        <f t="shared" ca="1" si="16"/>
        <v>55905.174136285757</v>
      </c>
      <c r="N29" s="240">
        <f t="shared" ca="1" si="16"/>
        <v>58543.650433997973</v>
      </c>
      <c r="O29" s="240">
        <f t="shared" ca="1" si="16"/>
        <v>61262.968856974359</v>
      </c>
      <c r="P29" s="240">
        <f t="shared" ca="1" si="16"/>
        <v>63554.01779860512</v>
      </c>
      <c r="Q29" s="240">
        <f t="shared" ca="1" si="16"/>
        <v>65918.850405929959</v>
      </c>
      <c r="R29" s="240">
        <f t="shared" ca="1" si="16"/>
        <v>68870.796862051327</v>
      </c>
      <c r="S29" s="240">
        <f t="shared" ca="1" si="16"/>
        <v>71912.130005037616</v>
      </c>
      <c r="T29" s="240">
        <f t="shared" ca="1" si="16"/>
        <v>75045.249497407</v>
      </c>
      <c r="U29" s="240">
        <f t="shared" ca="1" si="16"/>
        <v>77598.868166239379</v>
      </c>
      <c r="V29" s="240">
        <f t="shared" ca="1" si="16"/>
        <v>80234.130556643038</v>
      </c>
      <c r="W29" s="240">
        <f t="shared" ca="1" si="16"/>
        <v>83627.030280726787</v>
      </c>
      <c r="X29" s="240">
        <f t="shared" ca="1" si="16"/>
        <v>87121.248710578657</v>
      </c>
      <c r="Y29" s="240">
        <f t="shared" ref="Y29:AI29" ca="1" si="17">Y27+Y28</f>
        <v>90766.057938540936</v>
      </c>
      <c r="Z29" s="240">
        <f t="shared" ca="1" si="17"/>
        <v>93708.171619491564</v>
      </c>
      <c r="AA29" s="240">
        <f t="shared" ca="1" si="17"/>
        <v>96697.023993896248</v>
      </c>
      <c r="AB29" s="240">
        <f t="shared" ca="1" si="17"/>
        <v>100591.22955760614</v>
      </c>
      <c r="AC29" s="240">
        <f t="shared" ca="1" si="17"/>
        <v>104600.2470989193</v>
      </c>
      <c r="AD29" s="240">
        <f t="shared" ca="1" si="17"/>
        <v>108727.1196872287</v>
      </c>
      <c r="AE29" s="240">
        <f t="shared" ca="1" si="17"/>
        <v>112040.07764410276</v>
      </c>
      <c r="AF29" s="240">
        <f t="shared" ca="1" si="17"/>
        <v>115456.21982673169</v>
      </c>
      <c r="AG29" s="240">
        <f t="shared" ca="1" si="17"/>
        <v>119913.24140230104</v>
      </c>
      <c r="AH29" s="240">
        <f t="shared" ca="1" si="17"/>
        <v>124500.11840150095</v>
      </c>
      <c r="AI29" s="240">
        <f t="shared" ca="1" si="17"/>
        <v>129220.27255448169</v>
      </c>
      <c r="AJ29" s="169"/>
      <c r="AK29" s="529"/>
    </row>
    <row r="30" spans="1:37" ht="15" customHeight="1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K30" s="259"/>
    </row>
    <row r="31" spans="1:37" ht="18" customHeight="1" outlineLevel="1">
      <c r="A31" s="10" t="s">
        <v>84</v>
      </c>
      <c r="B31" s="15"/>
      <c r="C31" s="15"/>
      <c r="D31" s="15"/>
      <c r="E31" s="16">
        <f ca="1">IF(E27&lt;0,E27-E37,0)</f>
        <v>0</v>
      </c>
      <c r="F31" s="16">
        <f ca="1">IF(F27&lt;0,F27-F37,0)</f>
        <v>0</v>
      </c>
      <c r="G31" s="16">
        <f ca="1">IF(G27&lt;0,G27-G37,0)</f>
        <v>0</v>
      </c>
      <c r="H31" s="16">
        <f ca="1">IF(H27&lt;0,H27-H37,0)</f>
        <v>0</v>
      </c>
      <c r="I31" s="16">
        <f t="shared" ref="I31:X31" ca="1" si="18">IF(I27&lt;0,I27-I37,0)</f>
        <v>0</v>
      </c>
      <c r="J31" s="16">
        <f t="shared" ca="1" si="18"/>
        <v>0</v>
      </c>
      <c r="K31" s="16">
        <f t="shared" ca="1" si="18"/>
        <v>0</v>
      </c>
      <c r="L31" s="16">
        <f t="shared" ca="1" si="18"/>
        <v>0</v>
      </c>
      <c r="M31" s="16">
        <f t="shared" ca="1" si="18"/>
        <v>0</v>
      </c>
      <c r="N31" s="16">
        <f t="shared" ca="1" si="18"/>
        <v>0</v>
      </c>
      <c r="O31" s="16">
        <f t="shared" ca="1" si="18"/>
        <v>0</v>
      </c>
      <c r="P31" s="16">
        <f t="shared" ca="1" si="18"/>
        <v>0</v>
      </c>
      <c r="Q31" s="16">
        <f t="shared" ca="1" si="18"/>
        <v>0</v>
      </c>
      <c r="R31" s="16">
        <f t="shared" ca="1" si="18"/>
        <v>0</v>
      </c>
      <c r="S31" s="16">
        <f t="shared" ca="1" si="18"/>
        <v>0</v>
      </c>
      <c r="T31" s="16">
        <f t="shared" ca="1" si="18"/>
        <v>0</v>
      </c>
      <c r="U31" s="16">
        <f t="shared" ca="1" si="18"/>
        <v>0</v>
      </c>
      <c r="V31" s="16">
        <f t="shared" ca="1" si="18"/>
        <v>0</v>
      </c>
      <c r="W31" s="16">
        <f t="shared" ca="1" si="18"/>
        <v>0</v>
      </c>
      <c r="X31" s="16">
        <f t="shared" ca="1" si="18"/>
        <v>0</v>
      </c>
      <c r="Y31" s="16">
        <f ca="1">IF(Y27&lt;0,Y27-Y37,0)</f>
        <v>0</v>
      </c>
      <c r="Z31" s="16">
        <f t="shared" ref="Z31:AI31" ca="1" si="19">IF(Z27&lt;0,Z27-Z37,0)</f>
        <v>0</v>
      </c>
      <c r="AA31" s="16">
        <f t="shared" ca="1" si="19"/>
        <v>0</v>
      </c>
      <c r="AB31" s="16">
        <f t="shared" ca="1" si="19"/>
        <v>0</v>
      </c>
      <c r="AC31" s="16">
        <f t="shared" ca="1" si="19"/>
        <v>0</v>
      </c>
      <c r="AD31" s="16">
        <f t="shared" ca="1" si="19"/>
        <v>0</v>
      </c>
      <c r="AE31" s="16">
        <f t="shared" ca="1" si="19"/>
        <v>0</v>
      </c>
      <c r="AF31" s="16">
        <f t="shared" ca="1" si="19"/>
        <v>0</v>
      </c>
      <c r="AG31" s="16">
        <f t="shared" ca="1" si="19"/>
        <v>0</v>
      </c>
      <c r="AH31" s="16">
        <f t="shared" ca="1" si="19"/>
        <v>0</v>
      </c>
      <c r="AI31" s="16">
        <f t="shared" ca="1" si="19"/>
        <v>0</v>
      </c>
      <c r="AK31" s="259"/>
    </row>
    <row r="32" spans="1:37" ht="18" customHeight="1" outlineLevel="1">
      <c r="A32" s="10" t="s">
        <v>86</v>
      </c>
      <c r="B32" s="17"/>
      <c r="C32" s="15"/>
      <c r="D32" s="15"/>
      <c r="E32" s="16">
        <f ca="1">IF((SUM(A31:E31)+D33+IF(C33&gt;0,C33,0))&gt;0,0,(SUM(A31:E31)+D33+IF(C33&gt;0,C33,0)))</f>
        <v>0</v>
      </c>
      <c r="F32" s="16">
        <f ca="1">IF((SUM(B31:F31)+E33+IF(D33&gt;0,D33,0))&gt;0,0,(SUM(B31:F31)+E33+IF(D33&gt;0,D33,0)))</f>
        <v>0</v>
      </c>
      <c r="G32" s="16">
        <f ca="1">IF((SUM(C31:G31)+F33+IF(E33&gt;0,E33,0))&gt;0,0,(SUM(C31:G31)+F33+IF(E33&gt;0,E33,0)))</f>
        <v>0</v>
      </c>
      <c r="H32" s="16">
        <f ca="1">IF((SUM(D31:H31)+G33+IF(F33&gt;0,F33,0))&gt;0,0,(SUM(D31:H31)+G33+IF(F33&gt;0,F33,0)))</f>
        <v>0</v>
      </c>
      <c r="I32" s="16">
        <f t="shared" ref="I32:X32" ca="1" si="20">IF((SUM(E31:I31)+H33+IF(G33&gt;0,G33,0))&gt;0,0,(SUM(E31:I31)+H33+IF(G33&gt;0,G33,0)))</f>
        <v>0</v>
      </c>
      <c r="J32" s="16">
        <f t="shared" ca="1" si="20"/>
        <v>0</v>
      </c>
      <c r="K32" s="16">
        <f t="shared" ca="1" si="20"/>
        <v>0</v>
      </c>
      <c r="L32" s="16">
        <f t="shared" ca="1" si="20"/>
        <v>0</v>
      </c>
      <c r="M32" s="16">
        <f t="shared" ca="1" si="20"/>
        <v>0</v>
      </c>
      <c r="N32" s="16">
        <f t="shared" ca="1" si="20"/>
        <v>0</v>
      </c>
      <c r="O32" s="16">
        <f t="shared" ca="1" si="20"/>
        <v>0</v>
      </c>
      <c r="P32" s="16">
        <f t="shared" ca="1" si="20"/>
        <v>0</v>
      </c>
      <c r="Q32" s="16">
        <f t="shared" ca="1" si="20"/>
        <v>0</v>
      </c>
      <c r="R32" s="16">
        <f t="shared" ca="1" si="20"/>
        <v>0</v>
      </c>
      <c r="S32" s="16">
        <f t="shared" ca="1" si="20"/>
        <v>0</v>
      </c>
      <c r="T32" s="16">
        <f t="shared" ca="1" si="20"/>
        <v>0</v>
      </c>
      <c r="U32" s="16">
        <f t="shared" ca="1" si="20"/>
        <v>0</v>
      </c>
      <c r="V32" s="16">
        <f t="shared" ca="1" si="20"/>
        <v>0</v>
      </c>
      <c r="W32" s="16">
        <f t="shared" ca="1" si="20"/>
        <v>0</v>
      </c>
      <c r="X32" s="16">
        <f t="shared" ca="1" si="20"/>
        <v>0</v>
      </c>
      <c r="Y32" s="16">
        <f t="shared" ref="Y32:AI32" ca="1" si="21">IF((SUM(U31:Y31)+X33+IF(W33&gt;0,W33,0))&gt;0,0,(SUM(U31:Y31)+X33+IF(W33&gt;0,W33,0)))</f>
        <v>0</v>
      </c>
      <c r="Z32" s="16">
        <f t="shared" ca="1" si="21"/>
        <v>0</v>
      </c>
      <c r="AA32" s="16">
        <f t="shared" ca="1" si="21"/>
        <v>0</v>
      </c>
      <c r="AB32" s="16">
        <f t="shared" ca="1" si="21"/>
        <v>0</v>
      </c>
      <c r="AC32" s="16">
        <f t="shared" ca="1" si="21"/>
        <v>0</v>
      </c>
      <c r="AD32" s="16">
        <f t="shared" ca="1" si="21"/>
        <v>0</v>
      </c>
      <c r="AE32" s="16">
        <f t="shared" ca="1" si="21"/>
        <v>0</v>
      </c>
      <c r="AF32" s="16">
        <f t="shared" ca="1" si="21"/>
        <v>0</v>
      </c>
      <c r="AG32" s="16">
        <f t="shared" ca="1" si="21"/>
        <v>0</v>
      </c>
      <c r="AH32" s="16">
        <f t="shared" ca="1" si="21"/>
        <v>0</v>
      </c>
      <c r="AI32" s="16">
        <f t="shared" ca="1" si="21"/>
        <v>0</v>
      </c>
      <c r="AK32" s="259"/>
    </row>
    <row r="33" spans="1:37" ht="18" customHeight="1" outlineLevel="1">
      <c r="A33" s="10" t="s">
        <v>85</v>
      </c>
      <c r="B33" s="15"/>
      <c r="C33" s="15"/>
      <c r="D33" s="15"/>
      <c r="E33" s="16">
        <f ca="1">IF(IF(E27&gt;0,IF(E34&lt;E27*Ipotesi!C64,E27,0),0)&gt;-E32,-E32,IF(E27&gt;0,IF(E34&lt;E27*Ipotesi!C64,E27,0),0))</f>
        <v>0</v>
      </c>
      <c r="F33" s="16">
        <f ca="1">IF(IF(F27&gt;0,IF(F34&lt;F27*Ipotesi!D64,F27,0),0)&gt;-F32,-F32,IF(F27&gt;0,IF(F34&lt;F27*Ipotesi!D64,F27,0),0))</f>
        <v>0</v>
      </c>
      <c r="G33" s="16">
        <f ca="1">IF(IF(G27&gt;0,IF(G34&lt;G27*Ipotesi!E64,G27,0),0)&gt;-G32,-G32,IF(G27&gt;0,IF(G34&lt;G27*Ipotesi!E64,G27,0),0))</f>
        <v>0</v>
      </c>
      <c r="H33" s="16">
        <f ca="1">IF(IF(H27&gt;0,IF(H34&lt;H27*Ipotesi!F64,H27,0),0)&gt;-H32,-H32,IF(H27&gt;0,IF(H34&lt;H27*Ipotesi!F64,H27,0),0))</f>
        <v>0</v>
      </c>
      <c r="I33" s="16">
        <f ca="1">IF(IF(I27&gt;0,IF(I34&lt;I27*Ipotesi!G64,I27,0),0)&gt;-I32,-I32,IF(I27&gt;0,IF(I34&lt;I27*Ipotesi!G64,I27,0),0))</f>
        <v>0</v>
      </c>
      <c r="J33" s="16">
        <f ca="1">IF(IF(J27&gt;0,IF(J34&lt;J27*Ipotesi!H64,J27,0),0)&gt;-J32,-J32,IF(J27&gt;0,IF(J34&lt;J27*Ipotesi!H64,J27,0),0))</f>
        <v>0</v>
      </c>
      <c r="K33" s="16">
        <f ca="1">IF(IF(K27&gt;0,IF(K34&lt;K27*Ipotesi!I64,K27,0),0)&gt;-K32,-K32,IF(K27&gt;0,IF(K34&lt;K27*Ipotesi!I64,K27,0),0))</f>
        <v>0</v>
      </c>
      <c r="L33" s="16">
        <f ca="1">IF(IF(L27&gt;0,IF(L34&lt;L27*Ipotesi!J64,L27,0),0)&gt;-L32,-L32,IF(L27&gt;0,IF(L34&lt;L27*Ipotesi!J64,L27,0),0))</f>
        <v>0</v>
      </c>
      <c r="M33" s="16">
        <f ca="1">IF(IF(M27&gt;0,IF(M34&lt;M27*Ipotesi!K64,M27,0),0)&gt;-M32,-M32,IF(M27&gt;0,IF(M34&lt;M27*Ipotesi!K64,M27,0),0))</f>
        <v>0</v>
      </c>
      <c r="N33" s="16">
        <f ca="1">IF(IF(N27&gt;0,IF(N34&lt;N27*Ipotesi!L64,N27,0),0)&gt;-N32,-N32,IF(N27&gt;0,IF(N34&lt;N27*Ipotesi!L64,N27,0),0))</f>
        <v>0</v>
      </c>
      <c r="O33" s="16">
        <f ca="1">IF(IF(O27&gt;0,IF(O34&lt;O27*Ipotesi!M64,O27,0),0)&gt;-O32,-O32,IF(O27&gt;0,IF(O34&lt;O27*Ipotesi!M64,O27,0),0))</f>
        <v>0</v>
      </c>
      <c r="P33" s="16">
        <f ca="1">IF(IF(P27&gt;0,IF(P34&lt;P27*Ipotesi!N64,P27,0),0)&gt;-P32,-P32,IF(P27&gt;0,IF(P34&lt;P27*Ipotesi!N64,P27,0),0))</f>
        <v>0</v>
      </c>
      <c r="Q33" s="16">
        <f ca="1">IF(IF(Q27&gt;0,IF(Q34&lt;Q27*Ipotesi!O64,Q27,0),0)&gt;-Q32,-Q32,IF(Q27&gt;0,IF(Q34&lt;Q27*Ipotesi!O64,Q27,0),0))</f>
        <v>0</v>
      </c>
      <c r="R33" s="16">
        <f ca="1">IF(IF(R27&gt;0,IF(R34&lt;R27*Ipotesi!P64,R27,0),0)&gt;-R32,-R32,IF(R27&gt;0,IF(R34&lt;R27*Ipotesi!P64,R27,0),0))</f>
        <v>0</v>
      </c>
      <c r="S33" s="16">
        <f ca="1">IF(IF(S27&gt;0,IF(S34&lt;S27*Ipotesi!Q64,S27,0),0)&gt;-S32,-S32,IF(S27&gt;0,IF(S34&lt;S27*Ipotesi!Q64,S27,0),0))</f>
        <v>0</v>
      </c>
      <c r="T33" s="16">
        <f ca="1">IF(IF(T27&gt;0,IF(T34&lt;T27*Ipotesi!R64,T27,0),0)&gt;-T32,-T32,IF(T27&gt;0,IF(T34&lt;T27*Ipotesi!R64,T27,0),0))</f>
        <v>0</v>
      </c>
      <c r="U33" s="16">
        <f ca="1">IF(IF(U27&gt;0,IF(U34&lt;U27*Ipotesi!S64,U27,0),0)&gt;-U32,-U32,IF(U27&gt;0,IF(U34&lt;U27*Ipotesi!S64,U27,0),0))</f>
        <v>0</v>
      </c>
      <c r="V33" s="16">
        <f ca="1">IF(IF(V27&gt;0,IF(V34&lt;V27*Ipotesi!T64,V27,0),0)&gt;-V32,-V32,IF(V27&gt;0,IF(V34&lt;V27*Ipotesi!T64,V27,0),0))</f>
        <v>0</v>
      </c>
      <c r="W33" s="16">
        <f ca="1">IF(IF(W27&gt;0,IF(W34&lt;W27*Ipotesi!U64,W27,0),0)&gt;-W32,-W32,IF(W27&gt;0,IF(W34&lt;W27*Ipotesi!U64,W27,0),0))</f>
        <v>0</v>
      </c>
      <c r="X33" s="16">
        <f ca="1">IF(IF(X27&gt;0,IF(X34&lt;X27*Ipotesi!V64,X27,0),0)&gt;-X32,-X32,IF(X27&gt;0,IF(X34&lt;X27*Ipotesi!V64,X27,0),0))</f>
        <v>0</v>
      </c>
      <c r="Y33" s="16">
        <f ca="1">IF(IF(Y27&gt;0,IF(Y34&lt;Y27*Ipotesi!W64,Y27,0),0)&gt;-Y32,-Y32,IF(Y27&gt;0,IF(Y34&lt;Y27*Ipotesi!W64,Y27,0),0))</f>
        <v>0</v>
      </c>
      <c r="Z33" s="16">
        <f ca="1">IF(IF(Z27&gt;0,IF(Z34&lt;Z27*Ipotesi!X64,Z27,0),0)&gt;-Z32,-Z32,IF(Z27&gt;0,IF(Z34&lt;Z27*Ipotesi!X64,Z27,0),0))</f>
        <v>0</v>
      </c>
      <c r="AA33" s="16">
        <f ca="1">IF(IF(AA27&gt;0,IF(AA34&lt;AA27*Ipotesi!Y64,AA27,0),0)&gt;-AA32,-AA32,IF(AA27&gt;0,IF(AA34&lt;AA27*Ipotesi!Y64,AA27,0),0))</f>
        <v>0</v>
      </c>
      <c r="AB33" s="16">
        <f ca="1">IF(IF(AB27&gt;0,IF(AB34&lt;AB27*Ipotesi!Z64,AB27,0),0)&gt;-AB32,-AB32,IF(AB27&gt;0,IF(AB34&lt;AB27*Ipotesi!Z64,AB27,0),0))</f>
        <v>0</v>
      </c>
      <c r="AC33" s="16">
        <f ca="1">IF(IF(AC27&gt;0,IF(AC34&lt;AC27*Ipotesi!AA64,AC27,0),0)&gt;-AC32,-AC32,IF(AC27&gt;0,IF(AC34&lt;AC27*Ipotesi!AA64,AC27,0),0))</f>
        <v>0</v>
      </c>
      <c r="AD33" s="16">
        <f ca="1">IF(IF(AD27&gt;0,IF(AD34&lt;AD27*Ipotesi!AB64,AD27,0),0)&gt;-AD32,-AD32,IF(AD27&gt;0,IF(AD34&lt;AD27*Ipotesi!AB64,AD27,0),0))</f>
        <v>0</v>
      </c>
      <c r="AE33" s="16">
        <f ca="1">IF(IF(AE27&gt;0,IF(AE34&lt;AE27*Ipotesi!AC64,AE27,0),0)&gt;-AE32,-AE32,IF(AE27&gt;0,IF(AE34&lt;AE27*Ipotesi!AC64,AE27,0),0))</f>
        <v>0</v>
      </c>
      <c r="AF33" s="16">
        <f ca="1">IF(IF(AF27&gt;0,IF(AF34&lt;AF27*Ipotesi!AD64,AF27,0),0)&gt;-AF32,-AF32,IF(AF27&gt;0,IF(AF34&lt;AF27*Ipotesi!AD64,AF27,0),0))</f>
        <v>0</v>
      </c>
      <c r="AG33" s="16">
        <f ca="1">IF(IF(AG27&gt;0,IF(AG34&lt;AG27*Ipotesi!AE64,AG27,0),0)&gt;-AG32,-AG32,IF(AG27&gt;0,IF(AG34&lt;AG27*Ipotesi!AE64,AG27,0),0))</f>
        <v>0</v>
      </c>
      <c r="AH33" s="16">
        <f ca="1">IF(IF(AH27&gt;0,IF(AH34&lt;AH27*Ipotesi!AF64,AH27,0),0)&gt;-AH32,-AH32,IF(AH27&gt;0,IF(AH34&lt;AH27*Ipotesi!AF64,AH27,0),0))</f>
        <v>0</v>
      </c>
      <c r="AI33" s="16">
        <f ca="1">IF(IF(AI27&gt;0,IF(AI34&lt;AI27*Ipotesi!AG64,AI27,0),0)&gt;-AI32,-AI32,IF(AI27&gt;0,IF(AI34&lt;AI27*Ipotesi!AG64,AI27,0),0))</f>
        <v>0</v>
      </c>
      <c r="AK33" s="259"/>
    </row>
    <row r="34" spans="1:37" ht="18" customHeight="1" outlineLevel="1">
      <c r="A34" s="10" t="s">
        <v>591</v>
      </c>
      <c r="B34" s="15"/>
      <c r="C34" s="15"/>
      <c r="D34" s="15"/>
      <c r="E34" s="16">
        <f ca="1">+E35+E36</f>
        <v>207.26769155627457</v>
      </c>
      <c r="F34" s="16">
        <f t="shared" ref="F34:AI34" ca="1" si="22">+F35+F36</f>
        <v>6753.8013969014537</v>
      </c>
      <c r="G34" s="16">
        <f t="shared" ca="1" si="22"/>
        <v>7338.0713518904595</v>
      </c>
      <c r="H34" s="16">
        <f t="shared" ca="1" si="22"/>
        <v>7926.2209694685935</v>
      </c>
      <c r="I34" s="16">
        <f t="shared" ca="1" si="22"/>
        <v>8535.1703797942464</v>
      </c>
      <c r="J34" s="16">
        <f t="shared" ca="1" si="22"/>
        <v>9179.0296736780365</v>
      </c>
      <c r="K34" s="16">
        <f t="shared" ca="1" si="22"/>
        <v>9737.2222630333745</v>
      </c>
      <c r="L34" s="16">
        <f t="shared" ca="1" si="22"/>
        <v>10316.169813312168</v>
      </c>
      <c r="M34" s="16">
        <f t="shared" ca="1" si="22"/>
        <v>11024.68540672919</v>
      </c>
      <c r="N34" s="16">
        <f t="shared" ca="1" si="22"/>
        <v>11757.612582593301</v>
      </c>
      <c r="O34" s="16">
        <f t="shared" ca="1" si="22"/>
        <v>12515.643962788778</v>
      </c>
      <c r="P34" s="16">
        <f t="shared" ca="1" si="22"/>
        <v>13119.846399988841</v>
      </c>
      <c r="Q34" s="16">
        <f t="shared" ca="1" si="22"/>
        <v>13746.55989586244</v>
      </c>
      <c r="R34" s="16">
        <f t="shared" ca="1" si="22"/>
        <v>14576.085684088544</v>
      </c>
      <c r="S34" s="16">
        <f t="shared" ca="1" si="22"/>
        <v>15433.487647537149</v>
      </c>
      <c r="T34" s="16">
        <f t="shared" ca="1" si="22"/>
        <v>16319.548901590977</v>
      </c>
      <c r="U34" s="16">
        <f t="shared" ca="1" si="22"/>
        <v>16998.350761455684</v>
      </c>
      <c r="V34" s="16">
        <f t="shared" ca="1" si="22"/>
        <v>17702.125189549297</v>
      </c>
      <c r="W34" s="16">
        <f t="shared" ca="1" si="22"/>
        <v>18668.320332908679</v>
      </c>
      <c r="X34" s="16">
        <f t="shared" ca="1" si="22"/>
        <v>19666.273559541998</v>
      </c>
      <c r="Y34" s="16">
        <f t="shared" ca="1" si="22"/>
        <v>20713.231399202086</v>
      </c>
      <c r="Z34" s="16">
        <f t="shared" ca="1" si="22"/>
        <v>21509.324145095037</v>
      </c>
      <c r="AA34" s="16">
        <f t="shared" ca="1" si="22"/>
        <v>22317.799005273948</v>
      </c>
      <c r="AB34" s="16">
        <f t="shared" ca="1" si="22"/>
        <v>23440.2626701359</v>
      </c>
      <c r="AC34" s="16">
        <f t="shared" ca="1" si="22"/>
        <v>24598.887576199631</v>
      </c>
      <c r="AD34" s="16">
        <f t="shared" ca="1" si="22"/>
        <v>25794.671882269649</v>
      </c>
      <c r="AE34" s="16">
        <f t="shared" ca="1" si="22"/>
        <v>26700.164817470464</v>
      </c>
      <c r="AF34" s="16">
        <f t="shared" ca="1" si="22"/>
        <v>27637.516841389959</v>
      </c>
      <c r="AG34" s="16">
        <f t="shared" ca="1" si="22"/>
        <v>28936.113706090699</v>
      </c>
      <c r="AH34" s="16">
        <f t="shared" ca="1" si="22"/>
        <v>30275.789926653466</v>
      </c>
      <c r="AI34" s="16">
        <f t="shared" ca="1" si="22"/>
        <v>31657.670458704313</v>
      </c>
      <c r="AK34" s="259"/>
    </row>
    <row r="35" spans="1:37" ht="18" customHeight="1" outlineLevel="1">
      <c r="A35" s="10" t="s">
        <v>912</v>
      </c>
      <c r="B35" s="15"/>
      <c r="C35" s="15"/>
      <c r="D35" s="159"/>
      <c r="E35" s="16">
        <f>+Ipotesi!C65*E24</f>
        <v>0</v>
      </c>
      <c r="F35" s="16">
        <f>+Ipotesi!D65*F24</f>
        <v>6101.9999999999991</v>
      </c>
      <c r="G35" s="16">
        <f>+Ipotesi!E65*G24</f>
        <v>6205.7339999999986</v>
      </c>
      <c r="H35" s="16">
        <f>+Ipotesi!F65*H24</f>
        <v>6311.2314779999988</v>
      </c>
      <c r="I35" s="16">
        <f>+Ipotesi!G65*I24</f>
        <v>6418.5224131259965</v>
      </c>
      <c r="J35" s="16">
        <f>+Ipotesi!H65*J24</f>
        <v>6527.6372941491372</v>
      </c>
      <c r="K35" s="16">
        <f>+Ipotesi!I65*K24</f>
        <v>6638.6071281496716</v>
      </c>
      <c r="L35" s="16">
        <f>+Ipotesi!J65*L24</f>
        <v>6751.4634493282147</v>
      </c>
      <c r="M35" s="16">
        <f>+Ipotesi!K65*M24</f>
        <v>6866.2383279667947</v>
      </c>
      <c r="N35" s="16">
        <f>+Ipotesi!L65*N24</f>
        <v>6982.9643795422298</v>
      </c>
      <c r="O35" s="16">
        <f>+Ipotesi!M65*O24</f>
        <v>7101.6747739944467</v>
      </c>
      <c r="P35" s="16">
        <f>+Ipotesi!N65*P24</f>
        <v>7222.4032451523517</v>
      </c>
      <c r="Q35" s="16">
        <f>+Ipotesi!O65*Q24</f>
        <v>7345.1841003199424</v>
      </c>
      <c r="R35" s="16">
        <f>+Ipotesi!P65*R24</f>
        <v>7470.0522300253797</v>
      </c>
      <c r="S35" s="16">
        <f>+Ipotesi!Q65*S24</f>
        <v>7597.0431179358111</v>
      </c>
      <c r="T35" s="16">
        <f>+Ipotesi!R65*T24</f>
        <v>7726.192850940718</v>
      </c>
      <c r="U35" s="16">
        <f>+Ipotesi!S65*U24</f>
        <v>7857.5381294067101</v>
      </c>
      <c r="V35" s="16">
        <f>+Ipotesi!T65*V24</f>
        <v>7991.116277606623</v>
      </c>
      <c r="W35" s="16">
        <f>+Ipotesi!U65*W24</f>
        <v>8126.9652543259363</v>
      </c>
      <c r="X35" s="16">
        <f>+Ipotesi!V65*X24</f>
        <v>8265.1236636494759</v>
      </c>
      <c r="Y35" s="16">
        <f>+Ipotesi!W65*Y24</f>
        <v>8405.6307659315171</v>
      </c>
      <c r="Z35" s="16">
        <f>+Ipotesi!X65*Z24</f>
        <v>8548.5264889523514</v>
      </c>
      <c r="AA35" s="16">
        <f>+Ipotesi!Y65*AA24</f>
        <v>8693.8514392645393</v>
      </c>
      <c r="AB35" s="16">
        <f>+Ipotesi!Z65*AB24</f>
        <v>8841.6469137320364</v>
      </c>
      <c r="AC35" s="16">
        <f>+Ipotesi!AA65*AC24</f>
        <v>8991.9549112654804</v>
      </c>
      <c r="AD35" s="16">
        <f>+Ipotesi!AB65*AD24</f>
        <v>9144.8181447569932</v>
      </c>
      <c r="AE35" s="16">
        <f>+Ipotesi!AC65*AE24</f>
        <v>9300.2800532178626</v>
      </c>
      <c r="AF35" s="16">
        <f>+Ipotesi!AD65*AF24</f>
        <v>9458.3848141225644</v>
      </c>
      <c r="AG35" s="16">
        <f>+Ipotesi!AE65*AG24</f>
        <v>9619.1773559626472</v>
      </c>
      <c r="AH35" s="16">
        <f>+Ipotesi!AF65*AH24</f>
        <v>9782.7033710140113</v>
      </c>
      <c r="AI35" s="16">
        <f>+Ipotesi!AG65*AI24</f>
        <v>9949.00932832125</v>
      </c>
      <c r="AK35" s="259"/>
    </row>
    <row r="36" spans="1:37" ht="18" customHeight="1" outlineLevel="1">
      <c r="A36" s="10" t="s">
        <v>913</v>
      </c>
      <c r="B36" s="15"/>
      <c r="C36" s="15"/>
      <c r="D36" s="159"/>
      <c r="E36" s="16">
        <f ca="1">+IF(E25&gt;0,E25*Ipotesi!C66)</f>
        <v>207.26769155627457</v>
      </c>
      <c r="F36" s="16">
        <f ca="1">+IF(F25&gt;0,F25*Ipotesi!D66)</f>
        <v>651.80139690145495</v>
      </c>
      <c r="G36" s="16">
        <f ca="1">+IF(G25&gt;0,G25*Ipotesi!E66)</f>
        <v>1132.3373518904607</v>
      </c>
      <c r="H36" s="16">
        <f ca="1">+IF(H25&gt;0,H25*Ipotesi!F66)</f>
        <v>1614.9894914685951</v>
      </c>
      <c r="I36" s="16">
        <f ca="1">+IF(I25&gt;0,I25*Ipotesi!G66)</f>
        <v>2116.6479666682499</v>
      </c>
      <c r="J36" s="16">
        <f ca="1">+IF(J25&gt;0,J25*Ipotesi!H66)</f>
        <v>2651.3923795288997</v>
      </c>
      <c r="K36" s="16">
        <f ca="1">+IF(K25&gt;0,K25*Ipotesi!I66)</f>
        <v>3098.6151348837038</v>
      </c>
      <c r="L36" s="16">
        <f ca="1">+IF(L25&gt;0,L25*Ipotesi!J66)</f>
        <v>3564.706363983953</v>
      </c>
      <c r="M36" s="16">
        <f ca="1">+IF(M25&gt;0,M25*Ipotesi!K66)</f>
        <v>4158.447078762395</v>
      </c>
      <c r="N36" s="16">
        <f ca="1">+IF(N25&gt;0,N25*Ipotesi!L66)</f>
        <v>4774.6482030510706</v>
      </c>
      <c r="O36" s="16">
        <f ca="1">+IF(O25&gt;0,O25*Ipotesi!M66)</f>
        <v>5413.9691887943309</v>
      </c>
      <c r="P36" s="16">
        <f ca="1">+IF(P25&gt;0,P25*Ipotesi!N66)</f>
        <v>5897.4431548364892</v>
      </c>
      <c r="Q36" s="16">
        <f ca="1">+IF(Q25&gt;0,Q25*Ipotesi!O66)</f>
        <v>6401.3757955424962</v>
      </c>
      <c r="R36" s="16">
        <f ca="1">+IF(R25&gt;0,R25*Ipotesi!P66)</f>
        <v>7106.0334540631648</v>
      </c>
      <c r="S36" s="16">
        <f ca="1">+IF(S25&gt;0,S25*Ipotesi!Q66)</f>
        <v>7836.4445296013382</v>
      </c>
      <c r="T36" s="16">
        <f ca="1">+IF(T25&gt;0,T25*Ipotesi!R66)</f>
        <v>8593.3560506502599</v>
      </c>
      <c r="U36" s="16">
        <f ca="1">+IF(U25&gt;0,U25*Ipotesi!S66)</f>
        <v>9140.8126320489737</v>
      </c>
      <c r="V36" s="16">
        <f ca="1">+IF(V25&gt;0,V25*Ipotesi!T66)</f>
        <v>9711.0089119426721</v>
      </c>
      <c r="W36" s="16">
        <f ca="1">+IF(W25&gt;0,W25*Ipotesi!U66)</f>
        <v>10541.355078582743</v>
      </c>
      <c r="X36" s="16">
        <f ca="1">+IF(X25&gt;0,X25*Ipotesi!V66)</f>
        <v>11401.149895892522</v>
      </c>
      <c r="Y36" s="16">
        <f ca="1">+IF(Y25&gt;0,Y25*Ipotesi!W66)</f>
        <v>12307.600633270569</v>
      </c>
      <c r="Z36" s="16">
        <f ca="1">+IF(Z25&gt;0,Z25*Ipotesi!X66)</f>
        <v>12960.797656142686</v>
      </c>
      <c r="AA36" s="16">
        <f ca="1">+IF(AA25&gt;0,AA25*Ipotesi!Y66)</f>
        <v>13623.947566009409</v>
      </c>
      <c r="AB36" s="16">
        <f ca="1">+IF(AB25&gt;0,AB25*Ipotesi!Z66)</f>
        <v>14598.615756403864</v>
      </c>
      <c r="AC36" s="16">
        <f ca="1">+IF(AC25&gt;0,AC25*Ipotesi!AA66)</f>
        <v>15606.932664934149</v>
      </c>
      <c r="AD36" s="16">
        <f ca="1">+IF(AD25&gt;0,AD25*Ipotesi!AB66)</f>
        <v>16649.853737512654</v>
      </c>
      <c r="AE36" s="16">
        <f ca="1">+IF(AE25&gt;0,AE25*Ipotesi!AC66)</f>
        <v>17399.884764252602</v>
      </c>
      <c r="AF36" s="16">
        <f ca="1">+IF(AF25&gt;0,AF25*Ipotesi!AD66)</f>
        <v>18179.132027267395</v>
      </c>
      <c r="AG36" s="16">
        <f ca="1">+IF(AG25&gt;0,AG25*Ipotesi!AE66)</f>
        <v>19316.936350128053</v>
      </c>
      <c r="AH36" s="16">
        <f ca="1">+IF(AH25&gt;0,AH25*Ipotesi!AF66)</f>
        <v>20493.086555639456</v>
      </c>
      <c r="AI36" s="16">
        <f ca="1">+IF(AI25&gt;0,AI25*Ipotesi!AG66)</f>
        <v>21708.661130383065</v>
      </c>
      <c r="AK36" s="259"/>
    </row>
    <row r="37" spans="1:37" ht="18" customHeight="1" outlineLevel="1">
      <c r="A37" s="10" t="s">
        <v>103</v>
      </c>
      <c r="B37" s="15"/>
      <c r="C37" s="15"/>
      <c r="D37" s="15"/>
      <c r="E37" s="16">
        <f>IF((E23-E12)&gt;0,(E23-E12)*Ipotesi!C67,0)+Ipotesi!C67*'Costi operativi'!B20</f>
        <v>7524.3259666666672</v>
      </c>
      <c r="F37" s="16">
        <f>IF((F23-F12)&gt;0,(F23-F12)*Ipotesi!D67,0)+Ipotesi!D67*'Costi operativi'!C20</f>
        <v>2970</v>
      </c>
      <c r="G37" s="16">
        <f>IF((G23-G12)&gt;0,(G23-G12)*Ipotesi!E67,0)+Ipotesi!E67*'Costi operativi'!D20</f>
        <v>2970</v>
      </c>
      <c r="H37" s="16">
        <f>IF((H23-H12)&gt;0,(H23-H12)*Ipotesi!F67,0)+Ipotesi!F67*'Costi operativi'!E20</f>
        <v>2970</v>
      </c>
      <c r="I37" s="16">
        <f>IF((I23-I12)&gt;0,(I23-I12)*Ipotesi!G67,0)+Ipotesi!G67*'Costi operativi'!F20</f>
        <v>2970</v>
      </c>
      <c r="J37" s="16">
        <f>IF((J23-J12)&gt;0,(J23-J12)*Ipotesi!H67,0)+Ipotesi!H67*'Costi operativi'!G20</f>
        <v>2970</v>
      </c>
      <c r="K37" s="16">
        <f>IF((K23-K12)&gt;0,(K23-K12)*Ipotesi!I67,0)+Ipotesi!I67*'Costi operativi'!H20</f>
        <v>2970</v>
      </c>
      <c r="L37" s="16">
        <f>IF((L23-L12)&gt;0,(L23-L12)*Ipotesi!J67,0)+Ipotesi!J67*'Costi operativi'!I20</f>
        <v>2970</v>
      </c>
      <c r="M37" s="16">
        <f>IF((M23-M12)&gt;0,(M23-M12)*Ipotesi!K67,0)+Ipotesi!K67*'Costi operativi'!J20</f>
        <v>2970</v>
      </c>
      <c r="N37" s="16">
        <f>IF((N23-N12)&gt;0,(N23-N12)*Ipotesi!L67,0)+Ipotesi!L67*'Costi operativi'!K20</f>
        <v>2970</v>
      </c>
      <c r="O37" s="16">
        <f>IF((O23-O12)&gt;0,(O23-O12)*Ipotesi!M67,0)+Ipotesi!M67*'Costi operativi'!L20</f>
        <v>2970</v>
      </c>
      <c r="P37" s="16">
        <f>IF((P23-P12)&gt;0,(P23-P12)*Ipotesi!N67,0)+Ipotesi!N67*'Costi operativi'!M20</f>
        <v>2970</v>
      </c>
      <c r="Q37" s="16">
        <f>IF((Q23-Q12)&gt;0,(Q23-Q12)*Ipotesi!O67,0)+Ipotesi!O67*'Costi operativi'!N20</f>
        <v>2970</v>
      </c>
      <c r="R37" s="16">
        <f>IF((R23-R12)&gt;0,(R23-R12)*Ipotesi!P67,0)+Ipotesi!P67*'Costi operativi'!O20</f>
        <v>2970</v>
      </c>
      <c r="S37" s="16">
        <f>IF((S23-S12)&gt;0,(S23-S12)*Ipotesi!Q67,0)+Ipotesi!Q67*'Costi operativi'!P20</f>
        <v>2970</v>
      </c>
      <c r="T37" s="16">
        <f>IF((T23-T12)&gt;0,(T23-T12)*Ipotesi!R67,0)+Ipotesi!R67*'Costi operativi'!Q20</f>
        <v>2970</v>
      </c>
      <c r="U37" s="16">
        <f>IF((U23-U12)&gt;0,(U23-U12)*Ipotesi!S67,0)+Ipotesi!S67*'Costi operativi'!R20</f>
        <v>2970</v>
      </c>
      <c r="V37" s="16">
        <f>IF((V23-V12)&gt;0,(V23-V12)*Ipotesi!T67,0)+Ipotesi!T67*'Costi operativi'!S20</f>
        <v>2970</v>
      </c>
      <c r="W37" s="16">
        <f>IF((W23-W12)&gt;0,(W23-W12)*Ipotesi!U67,0)+Ipotesi!U67*'Costi operativi'!T20</f>
        <v>2970</v>
      </c>
      <c r="X37" s="16">
        <f>IF((X23-X12)&gt;0,(X23-X12)*Ipotesi!V67,0)+Ipotesi!V67*'Costi operativi'!U20</f>
        <v>2970</v>
      </c>
      <c r="Y37" s="16">
        <f>IF((Y23-Y12)&gt;0,(Y23-Y12)*Ipotesi!W67,0)+Ipotesi!W67*'Costi operativi'!V20</f>
        <v>2970</v>
      </c>
      <c r="Z37" s="16">
        <f>IF((Z23-Z12)&gt;0,(Z23-Z12)*Ipotesi!X67,0)+Ipotesi!X67*'Costi operativi'!W20</f>
        <v>2970</v>
      </c>
      <c r="AA37" s="16">
        <f>IF((AA23-AA12)&gt;0,(AA23-AA12)*Ipotesi!Y67,0)+Ipotesi!Y67*'Costi operativi'!X20</f>
        <v>2970</v>
      </c>
      <c r="AB37" s="16">
        <f>IF((AB23-AB12)&gt;0,(AB23-AB12)*Ipotesi!Z67,0)+Ipotesi!Z67*'Costi operativi'!Y20</f>
        <v>2970</v>
      </c>
      <c r="AC37" s="16">
        <f>IF((AC23-AC12)&gt;0,(AC23-AC12)*Ipotesi!AA67,0)+Ipotesi!AA67*'Costi operativi'!Z20</f>
        <v>2970</v>
      </c>
      <c r="AD37" s="16">
        <f>IF((AD23-AD12)&gt;0,(AD23-AD12)*Ipotesi!AB67,0)+Ipotesi!AB67*'Costi operativi'!AA20</f>
        <v>2970</v>
      </c>
      <c r="AE37" s="16">
        <f>IF((AE23-AE12)&gt;0,(AE23-AE12)*Ipotesi!AC67,0)+Ipotesi!AC67*'Costi operativi'!AB20</f>
        <v>2970</v>
      </c>
      <c r="AF37" s="16">
        <f>IF((AF23-AF12)&gt;0,(AF23-AF12)*Ipotesi!AD67,0)+Ipotesi!AD67*'Costi operativi'!AC20</f>
        <v>2970</v>
      </c>
      <c r="AG37" s="16">
        <f>IF((AG23-AG12)&gt;0,(AG23-AG12)*Ipotesi!AE67,0)+Ipotesi!AE67*'Costi operativi'!AD20</f>
        <v>2970</v>
      </c>
      <c r="AH37" s="16">
        <f>IF((AH23-AH12)&gt;0,(AH23-AH12)*Ipotesi!AF67,0)+Ipotesi!AF67*'Costi operativi'!AE20</f>
        <v>2970</v>
      </c>
      <c r="AI37" s="16">
        <f>IF((AI23-AI12)&gt;0,(AI23-AI12)*Ipotesi!AG67,0)+Ipotesi!AG67*'Costi operativi'!AF20</f>
        <v>2970</v>
      </c>
      <c r="AK37" s="259"/>
    </row>
    <row r="38" spans="1:37" s="2" customFormat="1" ht="18" customHeight="1" outlineLevel="1">
      <c r="A38" s="2" t="s">
        <v>592</v>
      </c>
      <c r="B38" s="31"/>
      <c r="C38" s="31"/>
      <c r="D38" s="31"/>
      <c r="E38" s="31">
        <f t="shared" ref="E38:X38" ca="1" si="23">E34+E37</f>
        <v>7731.5936582229415</v>
      </c>
      <c r="F38" s="31">
        <f t="shared" ca="1" si="23"/>
        <v>9723.8013969014537</v>
      </c>
      <c r="G38" s="31">
        <f t="shared" ca="1" si="23"/>
        <v>10308.071351890459</v>
      </c>
      <c r="H38" s="31">
        <f t="shared" ca="1" si="23"/>
        <v>10896.220969468593</v>
      </c>
      <c r="I38" s="31">
        <f t="shared" ca="1" si="23"/>
        <v>11505.170379794246</v>
      </c>
      <c r="J38" s="31">
        <f t="shared" ca="1" si="23"/>
        <v>12149.029673678036</v>
      </c>
      <c r="K38" s="31">
        <f t="shared" ca="1" si="23"/>
        <v>12707.222263033374</v>
      </c>
      <c r="L38" s="31">
        <f t="shared" ca="1" si="23"/>
        <v>13286.169813312168</v>
      </c>
      <c r="M38" s="31">
        <f t="shared" ca="1" si="23"/>
        <v>13994.68540672919</v>
      </c>
      <c r="N38" s="31">
        <f t="shared" ca="1" si="23"/>
        <v>14727.612582593301</v>
      </c>
      <c r="O38" s="31">
        <f t="shared" ca="1" si="23"/>
        <v>15485.643962788778</v>
      </c>
      <c r="P38" s="31">
        <f t="shared" ca="1" si="23"/>
        <v>16089.846399988841</v>
      </c>
      <c r="Q38" s="31">
        <f t="shared" ca="1" si="23"/>
        <v>16716.55989586244</v>
      </c>
      <c r="R38" s="31">
        <f t="shared" ca="1" si="23"/>
        <v>17546.085684088546</v>
      </c>
      <c r="S38" s="31">
        <f t="shared" ca="1" si="23"/>
        <v>18403.487647537149</v>
      </c>
      <c r="T38" s="31">
        <f t="shared" ca="1" si="23"/>
        <v>19289.548901590977</v>
      </c>
      <c r="U38" s="31">
        <f t="shared" ca="1" si="23"/>
        <v>19968.350761455684</v>
      </c>
      <c r="V38" s="31">
        <f t="shared" ca="1" si="23"/>
        <v>20672.125189549297</v>
      </c>
      <c r="W38" s="31">
        <f t="shared" ca="1" si="23"/>
        <v>21638.320332908679</v>
      </c>
      <c r="X38" s="31">
        <f t="shared" ca="1" si="23"/>
        <v>22636.273559541998</v>
      </c>
      <c r="Y38" s="31">
        <f ca="1">Y34+Y37</f>
        <v>23683.231399202086</v>
      </c>
      <c r="Z38" s="31">
        <f t="shared" ref="Z38:AI38" ca="1" si="24">Z34+Z37</f>
        <v>24479.324145095037</v>
      </c>
      <c r="AA38" s="31">
        <f t="shared" ca="1" si="24"/>
        <v>25287.799005273948</v>
      </c>
      <c r="AB38" s="31">
        <f t="shared" ca="1" si="24"/>
        <v>26410.2626701359</v>
      </c>
      <c r="AC38" s="31">
        <f t="shared" ca="1" si="24"/>
        <v>27568.887576199631</v>
      </c>
      <c r="AD38" s="31">
        <f t="shared" ca="1" si="24"/>
        <v>28764.671882269649</v>
      </c>
      <c r="AE38" s="31">
        <f t="shared" ca="1" si="24"/>
        <v>29670.164817470464</v>
      </c>
      <c r="AF38" s="31">
        <f t="shared" ca="1" si="24"/>
        <v>30607.516841389959</v>
      </c>
      <c r="AG38" s="31">
        <f t="shared" ca="1" si="24"/>
        <v>31906.113706090699</v>
      </c>
      <c r="AH38" s="31">
        <f t="shared" ca="1" si="24"/>
        <v>33245.789926653466</v>
      </c>
      <c r="AI38" s="31">
        <f t="shared" ca="1" si="24"/>
        <v>34627.670458704313</v>
      </c>
      <c r="AK38" s="259"/>
    </row>
    <row r="39" spans="1:37" ht="18" customHeight="1">
      <c r="AK39" s="259"/>
    </row>
    <row r="40" spans="1:37" ht="18" customHeight="1">
      <c r="B40" s="18"/>
      <c r="C40" s="18"/>
      <c r="D40" s="18"/>
      <c r="S40" s="258"/>
      <c r="T40" s="258"/>
      <c r="U40" s="131"/>
      <c r="V40" s="131"/>
      <c r="W40" s="131"/>
    </row>
    <row r="41" spans="1:37" ht="18" customHeight="1">
      <c r="S41" s="258"/>
      <c r="T41" s="258"/>
    </row>
    <row r="42" spans="1:37" ht="18" customHeight="1">
      <c r="S42" s="258"/>
      <c r="T42" s="258"/>
    </row>
    <row r="43" spans="1:37" ht="18" customHeight="1">
      <c r="S43" s="258"/>
      <c r="T43" s="258"/>
    </row>
    <row r="44" spans="1:37" ht="18" customHeight="1">
      <c r="S44" s="258"/>
      <c r="T44" s="258"/>
    </row>
    <row r="45" spans="1:37" ht="18" customHeight="1">
      <c r="S45" s="258"/>
      <c r="T45" s="258"/>
    </row>
    <row r="46" spans="1:37" ht="18" customHeight="1">
      <c r="S46" s="258"/>
      <c r="T46" s="258"/>
    </row>
    <row r="47" spans="1:37" ht="18" customHeight="1"/>
    <row r="48" spans="1:3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</sheetData>
  <mergeCells count="1">
    <mergeCell ref="AK1:AK29"/>
  </mergeCells>
  <phoneticPr fontId="0" type="noConversion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77" orientation="landscape" horizontalDpi="1200" verticalDpi="12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2888-51B5-B74D-B5C0-44B2291893DD}">
  <sheetPr codeName="Foglio10">
    <pageSetUpPr fitToPage="1"/>
  </sheetPr>
  <dimension ref="A1:DU52"/>
  <sheetViews>
    <sheetView showGridLines="0" zoomScale="85" zoomScaleNormal="85" workbookViewId="0">
      <pane xSplit="1" ySplit="4" topLeftCell="B5" activePane="bottomRight" state="frozen"/>
      <selection activeCell="V21" sqref="V21"/>
      <selection pane="topRight" activeCell="V21" sqref="V21"/>
      <selection pane="bottomLeft" activeCell="V21" sqref="V21"/>
      <selection pane="bottomRight" activeCell="A41" sqref="A3:V41"/>
    </sheetView>
  </sheetViews>
  <sheetFormatPr defaultColWidth="10.28515625" defaultRowHeight="16.5" outlineLevelRow="2" outlineLevelCol="1"/>
  <cols>
    <col min="1" max="1" width="33" style="3" customWidth="1"/>
    <col min="2" max="2" width="11.42578125" style="3" hidden="1" customWidth="1" outlineLevel="1"/>
    <col min="3" max="3" width="11.28515625" style="3" customWidth="1" collapsed="1"/>
    <col min="4" max="22" width="11.28515625" style="3" customWidth="1"/>
    <col min="23" max="23" width="11.28515625" style="3" customWidth="1" outlineLevel="1"/>
    <col min="24" max="24" width="9.28515625" style="3" customWidth="1" outlineLevel="1"/>
    <col min="25" max="25" width="9.42578125" style="3" customWidth="1" outlineLevel="1"/>
    <col min="26" max="26" width="9.28515625" style="3" customWidth="1" outlineLevel="1"/>
    <col min="27" max="27" width="9.42578125" style="3" customWidth="1" outlineLevel="1"/>
    <col min="28" max="28" width="9.28515625" style="3" customWidth="1" outlineLevel="1"/>
    <col min="29" max="32" width="9.42578125" style="3" customWidth="1" outlineLevel="1"/>
    <col min="33" max="33" width="9" style="3" customWidth="1" outlineLevel="1"/>
    <col min="34" max="34" width="1.7109375" style="3" customWidth="1"/>
    <col min="35" max="35" width="4.7109375" style="260" customWidth="1"/>
    <col min="36" max="16384" width="10.28515625" style="3"/>
  </cols>
  <sheetData>
    <row r="1" spans="1:125" ht="17.25" customHeight="1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I1" s="529">
        <f>IF(Ipotesi!$C$12=10%,"Stato Patrimoniale - ipotesi ''BASE''",IF(Ipotesi!$C$12=4%,"Stato Patrimoniale - ipotesi ''PESSIMISTICA''",IF(Ipotesi!$C$12=13%,"Stato Patrimoniale - ipotesi ''OTTIMISTICA''",0)))</f>
        <v>0</v>
      </c>
    </row>
    <row r="2" spans="1:125" ht="3" customHeight="1">
      <c r="AI2" s="529"/>
    </row>
    <row r="3" spans="1:125" s="4" customFormat="1" ht="17.25" customHeight="1">
      <c r="A3" s="19" t="s">
        <v>911</v>
      </c>
      <c r="B3" s="276" t="s">
        <v>178</v>
      </c>
      <c r="C3" s="276" t="s">
        <v>144</v>
      </c>
      <c r="D3" s="276" t="s">
        <v>145</v>
      </c>
      <c r="E3" s="276" t="s">
        <v>146</v>
      </c>
      <c r="F3" s="276" t="s">
        <v>147</v>
      </c>
      <c r="G3" s="276" t="s">
        <v>148</v>
      </c>
      <c r="H3" s="276" t="s">
        <v>149</v>
      </c>
      <c r="I3" s="276" t="s">
        <v>150</v>
      </c>
      <c r="J3" s="276" t="s">
        <v>151</v>
      </c>
      <c r="K3" s="276" t="s">
        <v>152</v>
      </c>
      <c r="L3" s="276" t="s">
        <v>153</v>
      </c>
      <c r="M3" s="276" t="s">
        <v>154</v>
      </c>
      <c r="N3" s="276" t="s">
        <v>155</v>
      </c>
      <c r="O3" s="276" t="s">
        <v>156</v>
      </c>
      <c r="P3" s="276" t="s">
        <v>157</v>
      </c>
      <c r="Q3" s="276" t="s">
        <v>158</v>
      </c>
      <c r="R3" s="276" t="s">
        <v>159</v>
      </c>
      <c r="S3" s="276" t="s">
        <v>160</v>
      </c>
      <c r="T3" s="276" t="s">
        <v>161</v>
      </c>
      <c r="U3" s="276" t="s">
        <v>162</v>
      </c>
      <c r="V3" s="276" t="s">
        <v>163</v>
      </c>
      <c r="W3" s="276" t="s">
        <v>164</v>
      </c>
      <c r="X3" s="276" t="s">
        <v>165</v>
      </c>
      <c r="Y3" s="276" t="s">
        <v>166</v>
      </c>
      <c r="Z3" s="276" t="s">
        <v>167</v>
      </c>
      <c r="AA3" s="276" t="s">
        <v>168</v>
      </c>
      <c r="AB3" s="276" t="s">
        <v>169</v>
      </c>
      <c r="AC3" s="276" t="s">
        <v>170</v>
      </c>
      <c r="AD3" s="276" t="s">
        <v>171</v>
      </c>
      <c r="AE3" s="276" t="s">
        <v>172</v>
      </c>
      <c r="AF3" s="276" t="s">
        <v>173</v>
      </c>
      <c r="AG3" s="276" t="s">
        <v>174</v>
      </c>
      <c r="AH3" s="2"/>
      <c r="AI3" s="529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</row>
    <row r="4" spans="1:125" ht="6" customHeight="1" outlineLevel="1">
      <c r="AI4" s="529"/>
    </row>
    <row r="5" spans="1:125" ht="18" customHeight="1" outlineLevel="1">
      <c r="A5" s="4" t="s">
        <v>6</v>
      </c>
      <c r="C5" s="20"/>
      <c r="AI5" s="529"/>
    </row>
    <row r="6" spans="1:125" ht="6" customHeight="1" outlineLevel="1">
      <c r="C6" s="20"/>
      <c r="AI6" s="529"/>
    </row>
    <row r="7" spans="1:125" ht="18" customHeight="1" outlineLevel="1">
      <c r="A7" s="3" t="s">
        <v>7</v>
      </c>
      <c r="B7" s="21">
        <v>0</v>
      </c>
      <c r="C7" s="21">
        <f ca="1">IF((B7-B22+CF!C19)&lt;0,0,(B7-B22+CF!C19))</f>
        <v>53145.561937506296</v>
      </c>
      <c r="D7" s="21">
        <f ca="1">IF((C7-C22+CF!D19)&lt;0,0,(C7-C22+CF!D19))</f>
        <v>113983.00137055908</v>
      </c>
      <c r="E7" s="21">
        <f ca="1">IF((D7-D22+CF!E19)&lt;0,0,(D7-D22+CF!E19))</f>
        <v>176359.9093705847</v>
      </c>
      <c r="F7" s="21">
        <f ca="1">IF((E7-E22+CF!F19)&lt;0,0,(E7-E22+CF!F19))</f>
        <v>237739.9602367474</v>
      </c>
      <c r="G7" s="21">
        <f ca="1">IF((F7-F22+CF!G19)&lt;0,0,(F7-F22+CF!G19))</f>
        <v>304990.28762690636</v>
      </c>
      <c r="H7" s="21">
        <f ca="1">IF((G7-G22+CF!H19)&lt;0,0,(G7-G22+CF!H19))</f>
        <v>374853.91225229873</v>
      </c>
      <c r="I7" s="21">
        <f ca="1">IF((H7-H22+CF!I19)&lt;0,0,(H7-H22+CF!I19))</f>
        <v>419662.78899993299</v>
      </c>
      <c r="J7" s="21">
        <f ca="1">IF((I7-I22+CF!J19)&lt;0,0,(I7-I22+CF!J19))</f>
        <v>494364.48381646513</v>
      </c>
      <c r="K7" s="21">
        <f ca="1">IF((J7-J22+CF!K19)&lt;0,0,(J7-J22+CF!K19))</f>
        <v>571903.99791748251</v>
      </c>
      <c r="L7" s="21">
        <f ca="1">IF((K7-K22+CF!L19)&lt;0,0,(K7-K22+CF!L19))</f>
        <v>652364.7720956126</v>
      </c>
      <c r="M7" s="21">
        <f ca="1">IF((L7-L22+CF!M19)&lt;0,0,(L7-L22+CF!M19))</f>
        <v>735832.45580036938</v>
      </c>
      <c r="N7" s="21">
        <f ca="1">IF((M7-M22+CF!N19)&lt;0,0,(M7-M22+CF!N19))</f>
        <v>776332.45569616626</v>
      </c>
      <c r="O7" s="21">
        <f ca="1">IF((N7-N22+CF!O19)&lt;0,0,(N7-N22+CF!O19))</f>
        <v>865045.95341729419</v>
      </c>
      <c r="P7" s="21">
        <f ca="1">IF((O7-O22+CF!P19)&lt;0,0,(O7-O22+CF!P19))</f>
        <v>957013.90659890196</v>
      </c>
      <c r="Q7" s="21">
        <f ca="1">IF((P7-P22+CF!Q19)&lt;0,0,(P7-P22+CF!Q19))</f>
        <v>1052330.8445809283</v>
      </c>
      <c r="R7" s="21">
        <f ca="1">IF((Q7-Q22+CF!R19)&lt;0,0,(Q7-Q22+CF!R19))</f>
        <v>1151093.783790933</v>
      </c>
      <c r="S7" s="21">
        <f ca="1">IF((R7-R22+CF!S19)&lt;0,0,(R7-R22+CF!S19))</f>
        <v>1192704.3269908552</v>
      </c>
      <c r="T7" s="21">
        <f ca="1">IF((S7-S22+CF!T19)&lt;0,0,(S7-S22+CF!T19))</f>
        <v>1297297.9581226511</v>
      </c>
      <c r="U7" s="21">
        <f ca="1">IF((T7-T22+CF!U19)&lt;0,0,(T7-T22+CF!U19))</f>
        <v>1405613.6004883084</v>
      </c>
      <c r="V7" s="21">
        <f ca="1">IF((U7-U22+CF!V19)&lt;0,0,(U7-U22+CF!V19))</f>
        <v>1517758.1676892613</v>
      </c>
      <c r="W7" s="21">
        <f ca="1">IF((V7-V22+CF!W19)&lt;0,0,(V7-V22+CF!W19))</f>
        <v>1638036.8664826793</v>
      </c>
      <c r="X7" s="21">
        <f ca="1">IF((W7-W22+CF!X19)&lt;0,0,(W7-W22+CF!X19))</f>
        <v>1685244.5838103173</v>
      </c>
      <c r="Y7" s="21">
        <f ca="1">IF((X7-X22+CF!Y19)&lt;0,0,(X7-X22+CF!Y19))</f>
        <v>1808075.3049100442</v>
      </c>
      <c r="Z7" s="21">
        <f ca="1">IF((Y7-Y22+CF!Z19)&lt;0,0,(Y7-Y22+CF!Z19))</f>
        <v>1935159.50442428</v>
      </c>
      <c r="AA7" s="21">
        <f ca="1">IF((Z7-Z22+CF!AA19)&lt;0,0,(Z7-Z22+CF!AA19))</f>
        <v>2066618.1019690919</v>
      </c>
      <c r="AB7" s="21">
        <f ca="1">IF((AA7-AA22+CF!AB19)&lt;0,0,(AA7-AA22+CF!AB19))</f>
        <v>2202575.1640597936</v>
      </c>
      <c r="AC7" s="21">
        <f ca="1">IF((AB7-AB22+CF!AC19)&lt;0,0,(AB7-AB22+CF!AC19))</f>
        <v>2258933.7498511304</v>
      </c>
      <c r="AD7" s="21">
        <f ca="1">IF((AC7-AC22+CF!AD19)&lt;0,0,(AC7-AC22+CF!AD19))</f>
        <v>2402382.1545764077</v>
      </c>
      <c r="AE7" s="21">
        <f ca="1">IF((AD7-AD22+CF!AE19)&lt;0,0,(AD7-AD22+CF!AE19))</f>
        <v>2550678.4480205295</v>
      </c>
      <c r="AF7" s="21">
        <f ca="1">IF((AE7-AE22+CF!AF19)&lt;0,0,(AE7-AE22+CF!AF19))</f>
        <v>2703959.1303485618</v>
      </c>
      <c r="AG7" s="21">
        <f ca="1">IF((AF7-AF22+CF!AG19)&lt;0,0,(AF7-AF22+CF!AG19))</f>
        <v>2862364.2364163259</v>
      </c>
      <c r="AI7" s="529"/>
    </row>
    <row r="8" spans="1:125" ht="18" customHeight="1" outlineLevel="1">
      <c r="A8" s="3" t="s">
        <v>8</v>
      </c>
      <c r="B8" s="21">
        <v>0</v>
      </c>
      <c r="C8" s="21">
        <f>(CE!E5-Iva!C12)/360*Ipotesi!B3</f>
        <v>866.66666666666663</v>
      </c>
      <c r="D8" s="21">
        <f>(CE!F5-Iva!D12)/360*Ipotesi!C3</f>
        <v>0</v>
      </c>
      <c r="E8" s="21">
        <f>(CE!G5-Iva!E12)/360*Ipotesi!D3</f>
        <v>0</v>
      </c>
      <c r="F8" s="21">
        <f>(CE!H5-Iva!F12)/360*Ipotesi!E3</f>
        <v>0</v>
      </c>
      <c r="G8" s="21">
        <f>(CE!I5-Iva!G12)/360*Ipotesi!F3</f>
        <v>0</v>
      </c>
      <c r="H8" s="21">
        <f>(CE!J5-Iva!H12)/360*Ipotesi!G3</f>
        <v>0</v>
      </c>
      <c r="I8" s="21">
        <f>(CE!K5-Iva!I12)/360*Ipotesi!H3</f>
        <v>0</v>
      </c>
      <c r="J8" s="21">
        <f>(CE!L5-Iva!J12)/360*Ipotesi!I3</f>
        <v>0</v>
      </c>
      <c r="K8" s="21">
        <f>(CE!M5-Iva!K12)/360*Ipotesi!J3</f>
        <v>0</v>
      </c>
      <c r="L8" s="21">
        <f>(CE!N5-Iva!L12)/360*Ipotesi!K3</f>
        <v>0</v>
      </c>
      <c r="M8" s="21">
        <f>(CE!O5-Iva!M12)/360*Ipotesi!L3</f>
        <v>0</v>
      </c>
      <c r="N8" s="21">
        <f>(CE!P5-Iva!N12)/360*Ipotesi!M3</f>
        <v>0</v>
      </c>
      <c r="O8" s="21">
        <f>(CE!Q5-Iva!O12)/360*Ipotesi!N3</f>
        <v>0</v>
      </c>
      <c r="P8" s="21">
        <f>(CE!R5-Iva!P12)/360*Ipotesi!O3</f>
        <v>0</v>
      </c>
      <c r="Q8" s="21">
        <f>(CE!S5-Iva!Q12)/360*Ipotesi!P3</f>
        <v>0</v>
      </c>
      <c r="R8" s="21">
        <f>(CE!T5-Iva!R12)/360*Ipotesi!Q3</f>
        <v>0</v>
      </c>
      <c r="S8" s="21">
        <f>(CE!U5-Iva!S12)/360*Ipotesi!R3</f>
        <v>0</v>
      </c>
      <c r="T8" s="21">
        <f>(CE!V5-Iva!T12)/360*Ipotesi!S3</f>
        <v>0</v>
      </c>
      <c r="U8" s="21">
        <f>(CE!W5-Iva!U12)/360*Ipotesi!T3</f>
        <v>0</v>
      </c>
      <c r="V8" s="21">
        <f>(CE!X5-Iva!V12)/360*Ipotesi!U3</f>
        <v>0</v>
      </c>
      <c r="W8" s="21">
        <f>(CE!Y5-Iva!W12)/360*Ipotesi!V3</f>
        <v>0</v>
      </c>
      <c r="X8" s="21">
        <f>(CE!Z5-Iva!X12)/360*Ipotesi!W3</f>
        <v>0</v>
      </c>
      <c r="Y8" s="21">
        <f>(CE!AA5-Iva!Y12)/360*Ipotesi!X3</f>
        <v>0</v>
      </c>
      <c r="Z8" s="21">
        <f>(CE!AB5-Iva!Z12)/360*Ipotesi!Y3</f>
        <v>0</v>
      </c>
      <c r="AA8" s="21">
        <f>(CE!AC5-Iva!AA12)/360*Ipotesi!Z3</f>
        <v>0</v>
      </c>
      <c r="AB8" s="21">
        <f>(CE!AD5-Iva!AB12)/360*Ipotesi!AA3</f>
        <v>0</v>
      </c>
      <c r="AC8" s="21">
        <f>(CE!AE5-Iva!AC12)/360*Ipotesi!AB3</f>
        <v>0</v>
      </c>
      <c r="AD8" s="21">
        <f>(CE!AF5-Iva!AD12)/360*Ipotesi!AC3</f>
        <v>0</v>
      </c>
      <c r="AE8" s="21">
        <f>(CE!AG5-Iva!AE12)/360*Ipotesi!AD3</f>
        <v>0</v>
      </c>
      <c r="AF8" s="21">
        <f>(CE!AH5-Iva!AF12)/360*Ipotesi!AE3</f>
        <v>0</v>
      </c>
      <c r="AG8" s="21">
        <f>(CE!AI5-Iva!AG12)/360*Ipotesi!AF3</f>
        <v>0</v>
      </c>
      <c r="AI8" s="529"/>
    </row>
    <row r="9" spans="1:125" ht="18" hidden="1" customHeight="1" outlineLevel="2">
      <c r="A9" s="3" t="s">
        <v>92</v>
      </c>
      <c r="B9" s="21">
        <v>0</v>
      </c>
      <c r="C9" s="21">
        <f>IF(Iva!C19&gt;0,Iva!B19,0)</f>
        <v>0</v>
      </c>
      <c r="D9" s="21">
        <f>IF(Iva!D19&gt;0,Iva!C19,0)</f>
        <v>0</v>
      </c>
      <c r="E9" s="21">
        <f>IF(Iva!E19&gt;0,Iva!D19,0)</f>
        <v>0</v>
      </c>
      <c r="F9" s="21">
        <f>IF(Iva!F19&gt;0,Iva!E19,0)</f>
        <v>0</v>
      </c>
      <c r="G9" s="21">
        <f>IF(Iva!G19&gt;0,Iva!F19,0)</f>
        <v>0</v>
      </c>
      <c r="H9" s="21">
        <f>IF(Iva!H19&gt;0,Iva!G19,0)</f>
        <v>0</v>
      </c>
      <c r="I9" s="21">
        <f>IF(Iva!I19&gt;0,Iva!H19,0)</f>
        <v>0</v>
      </c>
      <c r="J9" s="21">
        <f>IF(Iva!J19&gt;0,Iva!I19,0)</f>
        <v>0</v>
      </c>
      <c r="K9" s="21">
        <f>IF(Iva!K19&gt;0,Iva!J19,0)</f>
        <v>0</v>
      </c>
      <c r="L9" s="21">
        <f>IF(Iva!L19&gt;0,Iva!K19,0)</f>
        <v>0</v>
      </c>
      <c r="M9" s="21">
        <f>IF(Iva!M19&gt;0,Iva!L19,0)</f>
        <v>0</v>
      </c>
      <c r="N9" s="21">
        <f>IF(Iva!N19&gt;0,Iva!M19,0)</f>
        <v>0</v>
      </c>
      <c r="O9" s="21">
        <f>IF(Iva!O19&gt;0,Iva!N19,0)</f>
        <v>0</v>
      </c>
      <c r="P9" s="21">
        <f>IF(Iva!P19&gt;0,Iva!O19,0)</f>
        <v>0</v>
      </c>
      <c r="Q9" s="21">
        <f>IF(Iva!Q19&gt;0,Iva!P19,0)</f>
        <v>0</v>
      </c>
      <c r="R9" s="21">
        <f>IF(Iva!R19&gt;0,Iva!Q19,0)</f>
        <v>0</v>
      </c>
      <c r="S9" s="21">
        <f>IF(Iva!S19&gt;0,Iva!R19,0)</f>
        <v>0</v>
      </c>
      <c r="T9" s="21">
        <f>IF(Iva!T19&gt;0,Iva!S19,0)</f>
        <v>0</v>
      </c>
      <c r="U9" s="21">
        <f>IF(Iva!U19&gt;0,Iva!T19,0)</f>
        <v>0</v>
      </c>
      <c r="V9" s="21">
        <f>IF(Iva!V19&gt;0,Iva!U19,0)</f>
        <v>0</v>
      </c>
      <c r="W9" s="21">
        <f>IF(Iva!W19&gt;0,Iva!V19,0)</f>
        <v>0</v>
      </c>
      <c r="X9" s="21">
        <f>IF(Iva!X19&gt;0,Iva!W19,0)</f>
        <v>0</v>
      </c>
      <c r="Y9" s="21">
        <f>IF(Iva!Y19&gt;0,Iva!X19,0)</f>
        <v>0</v>
      </c>
      <c r="Z9" s="21">
        <f>IF(Iva!Z19&gt;0,Iva!Y19,0)</f>
        <v>0</v>
      </c>
      <c r="AA9" s="21">
        <f>IF(Iva!AA19&gt;0,Iva!Z19,0)</f>
        <v>0</v>
      </c>
      <c r="AB9" s="21">
        <f>IF(Iva!AB19&gt;0,Iva!AA19,0)</f>
        <v>0</v>
      </c>
      <c r="AC9" s="21">
        <f>IF(Iva!AC19&gt;0,Iva!AB19,0)</f>
        <v>0</v>
      </c>
      <c r="AD9" s="21">
        <f>IF(Iva!AD19&gt;0,Iva!AC19,0)</f>
        <v>0</v>
      </c>
      <c r="AE9" s="21">
        <f>IF(Iva!AE19&gt;0,Iva!AD19,0)</f>
        <v>0</v>
      </c>
      <c r="AF9" s="21">
        <f>IF(Iva!AF19&gt;0,Iva!AE19,0)</f>
        <v>0</v>
      </c>
      <c r="AG9" s="21">
        <f>IF(Iva!AG19&gt;0,Iva!AF19,0)</f>
        <v>0</v>
      </c>
      <c r="AI9" s="529"/>
    </row>
    <row r="10" spans="1:125" ht="18" hidden="1" customHeight="1" outlineLevel="2">
      <c r="A10" s="3" t="s">
        <v>9</v>
      </c>
      <c r="B10" s="21">
        <v>0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I10" s="529"/>
    </row>
    <row r="11" spans="1:125" s="4" customFormat="1" ht="18" customHeight="1" outlineLevel="1" collapsed="1">
      <c r="A11" s="242" t="s">
        <v>87</v>
      </c>
      <c r="B11" s="161">
        <f t="shared" ref="B11:AG11" si="0">SUM(B7:B10)</f>
        <v>0</v>
      </c>
      <c r="C11" s="161">
        <f ca="1">SUM(C7:C10)</f>
        <v>54012.22860417296</v>
      </c>
      <c r="D11" s="161">
        <f t="shared" ca="1" si="0"/>
        <v>113983.00137055908</v>
      </c>
      <c r="E11" s="161">
        <f t="shared" ca="1" si="0"/>
        <v>176359.9093705847</v>
      </c>
      <c r="F11" s="161">
        <f t="shared" ca="1" si="0"/>
        <v>237739.9602367474</v>
      </c>
      <c r="G11" s="161">
        <f t="shared" ca="1" si="0"/>
        <v>304990.28762690636</v>
      </c>
      <c r="H11" s="161">
        <f t="shared" ca="1" si="0"/>
        <v>374853.91225229873</v>
      </c>
      <c r="I11" s="161">
        <f t="shared" ca="1" si="0"/>
        <v>419662.78899993299</v>
      </c>
      <c r="J11" s="161">
        <f t="shared" ca="1" si="0"/>
        <v>494364.48381646513</v>
      </c>
      <c r="K11" s="161">
        <f t="shared" ca="1" si="0"/>
        <v>571903.99791748251</v>
      </c>
      <c r="L11" s="161">
        <f t="shared" ca="1" si="0"/>
        <v>652364.7720956126</v>
      </c>
      <c r="M11" s="161">
        <f t="shared" ca="1" si="0"/>
        <v>735832.45580036938</v>
      </c>
      <c r="N11" s="161">
        <f t="shared" ca="1" si="0"/>
        <v>776332.45569616626</v>
      </c>
      <c r="O11" s="161">
        <f t="shared" ca="1" si="0"/>
        <v>865045.95341729419</v>
      </c>
      <c r="P11" s="161">
        <f t="shared" ca="1" si="0"/>
        <v>957013.90659890196</v>
      </c>
      <c r="Q11" s="161">
        <f t="shared" ca="1" si="0"/>
        <v>1052330.8445809283</v>
      </c>
      <c r="R11" s="161">
        <f t="shared" ca="1" si="0"/>
        <v>1151093.783790933</v>
      </c>
      <c r="S11" s="161">
        <f t="shared" ca="1" si="0"/>
        <v>1192704.3269908552</v>
      </c>
      <c r="T11" s="161">
        <f t="shared" ca="1" si="0"/>
        <v>1297297.9581226511</v>
      </c>
      <c r="U11" s="161">
        <f t="shared" ca="1" si="0"/>
        <v>1405613.6004883084</v>
      </c>
      <c r="V11" s="161">
        <f t="shared" ca="1" si="0"/>
        <v>1517758.1676892613</v>
      </c>
      <c r="W11" s="161">
        <f t="shared" ca="1" si="0"/>
        <v>1638036.8664826793</v>
      </c>
      <c r="X11" s="161">
        <f t="shared" ca="1" si="0"/>
        <v>1685244.5838103173</v>
      </c>
      <c r="Y11" s="161">
        <f t="shared" ca="1" si="0"/>
        <v>1808075.3049100442</v>
      </c>
      <c r="Z11" s="161">
        <f t="shared" ca="1" si="0"/>
        <v>1935159.50442428</v>
      </c>
      <c r="AA11" s="161">
        <f t="shared" ca="1" si="0"/>
        <v>2066618.1019690919</v>
      </c>
      <c r="AB11" s="161">
        <f t="shared" ca="1" si="0"/>
        <v>2202575.1640597936</v>
      </c>
      <c r="AC11" s="161">
        <f t="shared" ca="1" si="0"/>
        <v>2258933.7498511304</v>
      </c>
      <c r="AD11" s="161">
        <f t="shared" ca="1" si="0"/>
        <v>2402382.1545764077</v>
      </c>
      <c r="AE11" s="161">
        <f t="shared" ca="1" si="0"/>
        <v>2550678.4480205295</v>
      </c>
      <c r="AF11" s="161">
        <f t="shared" ca="1" si="0"/>
        <v>2703959.1303485618</v>
      </c>
      <c r="AG11" s="162">
        <f t="shared" ca="1" si="0"/>
        <v>2862364.2364163259</v>
      </c>
      <c r="AH11" s="171"/>
      <c r="AI11" s="529"/>
    </row>
    <row r="12" spans="1:125" ht="6.75" customHeight="1" outlineLevel="1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I12" s="529"/>
    </row>
    <row r="13" spans="1:125" ht="18" customHeight="1" outlineLevel="1">
      <c r="A13" s="3" t="s">
        <v>10</v>
      </c>
      <c r="B13" s="21">
        <v>0</v>
      </c>
      <c r="C13" s="21">
        <f>'Imm.  Imm.'!E148</f>
        <v>72000</v>
      </c>
      <c r="D13" s="21">
        <f>'Imm.  Imm.'!F148</f>
        <v>54000</v>
      </c>
      <c r="E13" s="21">
        <f>'Imm.  Imm.'!G148</f>
        <v>36000</v>
      </c>
      <c r="F13" s="21">
        <f>'Imm.  Imm.'!H148</f>
        <v>18000</v>
      </c>
      <c r="G13" s="21">
        <f>'Imm.  Imm.'!I148</f>
        <v>0</v>
      </c>
      <c r="H13" s="21">
        <f>'Imm.  Imm.'!J148</f>
        <v>0</v>
      </c>
      <c r="I13" s="21">
        <f>'Imm.  Imm.'!K148</f>
        <v>0</v>
      </c>
      <c r="J13" s="21">
        <f>'Imm.  Imm.'!L148</f>
        <v>0</v>
      </c>
      <c r="K13" s="21">
        <f>'Imm.  Imm.'!M148</f>
        <v>0</v>
      </c>
      <c r="L13" s="21">
        <f>'Imm.  Imm.'!N148</f>
        <v>0</v>
      </c>
      <c r="M13" s="21">
        <f>'Imm.  Imm.'!O148</f>
        <v>0</v>
      </c>
      <c r="N13" s="21">
        <f>'Imm.  Imm.'!P148</f>
        <v>0</v>
      </c>
      <c r="O13" s="21">
        <f>'Imm.  Imm.'!Q148</f>
        <v>0</v>
      </c>
      <c r="P13" s="21">
        <f>'Imm.  Imm.'!R148</f>
        <v>0</v>
      </c>
      <c r="Q13" s="21">
        <f>'Imm.  Imm.'!S148</f>
        <v>0</v>
      </c>
      <c r="R13" s="21">
        <f>'Imm.  Imm.'!T148</f>
        <v>0</v>
      </c>
      <c r="S13" s="21">
        <f>'Imm.  Imm.'!U148</f>
        <v>0</v>
      </c>
      <c r="T13" s="21">
        <f>'Imm.  Imm.'!V148</f>
        <v>0</v>
      </c>
      <c r="U13" s="21">
        <f>'Imm.  Imm.'!W148</f>
        <v>0</v>
      </c>
      <c r="V13" s="21">
        <f>'Imm.  Imm.'!X148</f>
        <v>0</v>
      </c>
      <c r="W13" s="21">
        <f>'Imm.  Imm.'!Y148</f>
        <v>0</v>
      </c>
      <c r="X13" s="21">
        <f>'Imm.  Imm.'!Z148</f>
        <v>0</v>
      </c>
      <c r="Y13" s="21">
        <f>'Imm.  Imm.'!AA148</f>
        <v>0</v>
      </c>
      <c r="Z13" s="21">
        <f>'Imm.  Imm.'!AB148</f>
        <v>0</v>
      </c>
      <c r="AA13" s="21">
        <f>'Imm.  Imm.'!AC148</f>
        <v>0</v>
      </c>
      <c r="AB13" s="21">
        <f>'Imm.  Imm.'!AD148</f>
        <v>0</v>
      </c>
      <c r="AC13" s="21">
        <f>'Imm.  Imm.'!AE148</f>
        <v>0</v>
      </c>
      <c r="AD13" s="21">
        <f>'Imm.  Imm.'!AF148</f>
        <v>0</v>
      </c>
      <c r="AE13" s="21">
        <f>'Imm.  Imm.'!AG148</f>
        <v>0</v>
      </c>
      <c r="AF13" s="21">
        <f>'Imm.  Imm.'!AH148</f>
        <v>0</v>
      </c>
      <c r="AG13" s="21">
        <f>'Imm.  Imm.'!AI148</f>
        <v>0</v>
      </c>
      <c r="AI13" s="529"/>
    </row>
    <row r="14" spans="1:125" ht="18" hidden="1" customHeight="1" outlineLevel="2">
      <c r="A14" s="3" t="s">
        <v>11</v>
      </c>
      <c r="B14" s="21">
        <v>0</v>
      </c>
      <c r="C14" s="21">
        <f>'Imm.  Mat.'!E361</f>
        <v>0</v>
      </c>
      <c r="D14" s="21">
        <f>'Imm.  Mat.'!F361</f>
        <v>0</v>
      </c>
      <c r="E14" s="21">
        <f>'Imm.  Mat.'!G361</f>
        <v>0</v>
      </c>
      <c r="F14" s="21">
        <f>'Imm.  Mat.'!H361</f>
        <v>0</v>
      </c>
      <c r="G14" s="21">
        <f>'Imm.  Mat.'!I361</f>
        <v>0</v>
      </c>
      <c r="H14" s="21">
        <f>'Imm.  Mat.'!J361</f>
        <v>0</v>
      </c>
      <c r="I14" s="21">
        <f>'Imm.  Mat.'!K361</f>
        <v>0</v>
      </c>
      <c r="J14" s="21">
        <f>'Imm.  Mat.'!L361</f>
        <v>0</v>
      </c>
      <c r="K14" s="21">
        <f>'Imm.  Mat.'!M361</f>
        <v>0</v>
      </c>
      <c r="L14" s="21">
        <f>'Imm.  Mat.'!N361</f>
        <v>0</v>
      </c>
      <c r="M14" s="21">
        <f>'Imm.  Mat.'!O361</f>
        <v>0</v>
      </c>
      <c r="N14" s="21">
        <f>'Imm.  Mat.'!P361</f>
        <v>0</v>
      </c>
      <c r="O14" s="21">
        <f>'Imm.  Mat.'!Q361</f>
        <v>0</v>
      </c>
      <c r="P14" s="21">
        <f>'Imm.  Mat.'!R361</f>
        <v>0</v>
      </c>
      <c r="Q14" s="21">
        <f>'Imm.  Mat.'!S361</f>
        <v>0</v>
      </c>
      <c r="R14" s="21">
        <f>'Imm.  Mat.'!T361</f>
        <v>0</v>
      </c>
      <c r="S14" s="21">
        <f>'Imm.  Mat.'!U361</f>
        <v>0</v>
      </c>
      <c r="T14" s="21">
        <f>'Imm.  Mat.'!V361</f>
        <v>0</v>
      </c>
      <c r="U14" s="21">
        <f>'Imm.  Mat.'!W361</f>
        <v>0</v>
      </c>
      <c r="V14" s="21">
        <f>'Imm.  Mat.'!X361</f>
        <v>0</v>
      </c>
      <c r="W14" s="21">
        <f>'Imm.  Mat.'!Y361</f>
        <v>0</v>
      </c>
      <c r="X14" s="21">
        <f>'Imm.  Mat.'!Z361</f>
        <v>0</v>
      </c>
      <c r="Y14" s="21">
        <f>'Imm.  Mat.'!AA361</f>
        <v>0</v>
      </c>
      <c r="Z14" s="21">
        <f>'Imm.  Mat.'!AB361</f>
        <v>0</v>
      </c>
      <c r="AA14" s="21">
        <f>'Imm.  Mat.'!AC361</f>
        <v>0</v>
      </c>
      <c r="AB14" s="21">
        <f>'Imm.  Mat.'!AD361</f>
        <v>0</v>
      </c>
      <c r="AC14" s="21">
        <f>'Imm.  Mat.'!AE361</f>
        <v>0</v>
      </c>
      <c r="AD14" s="21">
        <f>'Imm.  Mat.'!AF361</f>
        <v>0</v>
      </c>
      <c r="AE14" s="21">
        <f>'Imm.  Mat.'!AG361</f>
        <v>0</v>
      </c>
      <c r="AF14" s="21">
        <f>'Imm.  Mat.'!AH361</f>
        <v>0</v>
      </c>
      <c r="AG14" s="21">
        <f>'Imm.  Mat.'!AI361</f>
        <v>0</v>
      </c>
      <c r="AI14" s="529"/>
    </row>
    <row r="15" spans="1:125" ht="18" customHeight="1" outlineLevel="1" collapsed="1">
      <c r="A15" s="3" t="s">
        <v>12</v>
      </c>
      <c r="B15" s="21">
        <v>0</v>
      </c>
      <c r="C15" s="21">
        <f>+Ipotesi!C23</f>
        <v>99185.428543820715</v>
      </c>
      <c r="D15" s="21">
        <f>+C15+Ipotesi!D23</f>
        <v>350000.00000000012</v>
      </c>
      <c r="E15" s="21">
        <f>+D15+Ipotesi!E23</f>
        <v>350000.00000000012</v>
      </c>
      <c r="F15" s="21">
        <f>+E15+Ipotesi!F23</f>
        <v>350000.00000000012</v>
      </c>
      <c r="G15" s="21">
        <f>+F15+Ipotesi!G23</f>
        <v>350000.00000000012</v>
      </c>
      <c r="H15" s="21">
        <f>+G15+Ipotesi!H23</f>
        <v>350000.00000000012</v>
      </c>
      <c r="I15" s="21">
        <f>+H15+Ipotesi!I23</f>
        <v>350000.00000000012</v>
      </c>
      <c r="J15" s="21">
        <f>+I15+Ipotesi!J23</f>
        <v>350000.00000000012</v>
      </c>
      <c r="K15" s="21">
        <f>+J15+Ipotesi!K23</f>
        <v>350000.00000000012</v>
      </c>
      <c r="L15" s="21">
        <f>+K15+Ipotesi!L23</f>
        <v>350000.00000000012</v>
      </c>
      <c r="M15" s="21">
        <f>+L15+Ipotesi!M23</f>
        <v>350000.00000000012</v>
      </c>
      <c r="N15" s="21">
        <f>+M15+Ipotesi!N23</f>
        <v>350000.00000000012</v>
      </c>
      <c r="O15" s="21">
        <f>+N15+Ipotesi!O23</f>
        <v>350000.00000000012</v>
      </c>
      <c r="P15" s="21">
        <f>+O15+Ipotesi!P23</f>
        <v>350000.00000000012</v>
      </c>
      <c r="Q15" s="21">
        <f>+P15+Ipotesi!Q23</f>
        <v>350000.00000000012</v>
      </c>
      <c r="R15" s="21">
        <f>+Q15+Ipotesi!R23</f>
        <v>350000.00000000012</v>
      </c>
      <c r="S15" s="21">
        <f>+R15+Ipotesi!S23</f>
        <v>350000.00000000012</v>
      </c>
      <c r="T15" s="21">
        <f>+S15+Ipotesi!T23</f>
        <v>350000.00000000012</v>
      </c>
      <c r="U15" s="21">
        <f>+T15+Ipotesi!U23</f>
        <v>350000.00000000012</v>
      </c>
      <c r="V15" s="21">
        <f>+U15+Ipotesi!V23</f>
        <v>350000.00000000012</v>
      </c>
      <c r="W15" s="21">
        <f>+V15+Ipotesi!W23</f>
        <v>350000.00000000012</v>
      </c>
      <c r="X15" s="21">
        <f>+W15+Ipotesi!X23</f>
        <v>350000.00000000012</v>
      </c>
      <c r="Y15" s="21">
        <f>+X15+Ipotesi!Y23</f>
        <v>350000.00000000012</v>
      </c>
      <c r="Z15" s="21">
        <f>+Y15+Ipotesi!Z23</f>
        <v>350000.00000000012</v>
      </c>
      <c r="AA15" s="21">
        <f>+Z15+Ipotesi!AA23</f>
        <v>350000.00000000012</v>
      </c>
      <c r="AB15" s="21">
        <f>+AA15+Ipotesi!AB23</f>
        <v>350000.00000000012</v>
      </c>
      <c r="AC15" s="21">
        <f>+AB15+Ipotesi!AC23</f>
        <v>350000.00000000012</v>
      </c>
      <c r="AD15" s="21">
        <f>+AC15+Ipotesi!AD23</f>
        <v>350000.00000000012</v>
      </c>
      <c r="AE15" s="21">
        <f>+AD15+Ipotesi!AE23</f>
        <v>350000.00000000012</v>
      </c>
      <c r="AF15" s="21">
        <f>+AE15+Ipotesi!AF23</f>
        <v>350000.00000000012</v>
      </c>
      <c r="AG15" s="21">
        <f>+AF15+Ipotesi!AG23</f>
        <v>350000.00000000012</v>
      </c>
      <c r="AI15" s="529"/>
      <c r="AJ15" s="258"/>
    </row>
    <row r="16" spans="1:125" s="4" customFormat="1" ht="18" customHeight="1" outlineLevel="1">
      <c r="A16" s="242" t="s">
        <v>94</v>
      </c>
      <c r="B16" s="161">
        <f t="shared" ref="B16:AE16" si="1">SUM(B13:B15)</f>
        <v>0</v>
      </c>
      <c r="C16" s="161">
        <f t="shared" si="1"/>
        <v>171185.42854382072</v>
      </c>
      <c r="D16" s="161">
        <f t="shared" si="1"/>
        <v>404000.00000000012</v>
      </c>
      <c r="E16" s="161">
        <f t="shared" si="1"/>
        <v>386000.00000000012</v>
      </c>
      <c r="F16" s="161">
        <f t="shared" si="1"/>
        <v>368000.00000000012</v>
      </c>
      <c r="G16" s="161">
        <f t="shared" si="1"/>
        <v>350000.00000000012</v>
      </c>
      <c r="H16" s="161">
        <f t="shared" si="1"/>
        <v>350000.00000000012</v>
      </c>
      <c r="I16" s="161">
        <f t="shared" si="1"/>
        <v>350000.00000000012</v>
      </c>
      <c r="J16" s="161">
        <f t="shared" si="1"/>
        <v>350000.00000000012</v>
      </c>
      <c r="K16" s="161">
        <f t="shared" si="1"/>
        <v>350000.00000000012</v>
      </c>
      <c r="L16" s="161">
        <f t="shared" si="1"/>
        <v>350000.00000000012</v>
      </c>
      <c r="M16" s="161">
        <f t="shared" si="1"/>
        <v>350000.00000000012</v>
      </c>
      <c r="N16" s="161">
        <f t="shared" si="1"/>
        <v>350000.00000000012</v>
      </c>
      <c r="O16" s="161">
        <f t="shared" si="1"/>
        <v>350000.00000000012</v>
      </c>
      <c r="P16" s="161">
        <f t="shared" si="1"/>
        <v>350000.00000000012</v>
      </c>
      <c r="Q16" s="161">
        <f t="shared" si="1"/>
        <v>350000.00000000012</v>
      </c>
      <c r="R16" s="161">
        <f t="shared" si="1"/>
        <v>350000.00000000012</v>
      </c>
      <c r="S16" s="161">
        <f t="shared" si="1"/>
        <v>350000.00000000012</v>
      </c>
      <c r="T16" s="161">
        <f t="shared" si="1"/>
        <v>350000.00000000012</v>
      </c>
      <c r="U16" s="161">
        <f t="shared" si="1"/>
        <v>350000.00000000012</v>
      </c>
      <c r="V16" s="161">
        <f t="shared" si="1"/>
        <v>350000.00000000012</v>
      </c>
      <c r="W16" s="161">
        <f t="shared" si="1"/>
        <v>350000.00000000012</v>
      </c>
      <c r="X16" s="161">
        <f t="shared" si="1"/>
        <v>350000.00000000012</v>
      </c>
      <c r="Y16" s="161">
        <f t="shared" si="1"/>
        <v>350000.00000000012</v>
      </c>
      <c r="Z16" s="161">
        <f t="shared" si="1"/>
        <v>350000.00000000012</v>
      </c>
      <c r="AA16" s="161">
        <f t="shared" si="1"/>
        <v>350000.00000000012</v>
      </c>
      <c r="AB16" s="161">
        <f t="shared" si="1"/>
        <v>350000.00000000012</v>
      </c>
      <c r="AC16" s="161">
        <f t="shared" si="1"/>
        <v>350000.00000000012</v>
      </c>
      <c r="AD16" s="161">
        <f t="shared" si="1"/>
        <v>350000.00000000012</v>
      </c>
      <c r="AE16" s="161">
        <f t="shared" si="1"/>
        <v>350000.00000000012</v>
      </c>
      <c r="AF16" s="161">
        <f>SUM(AF13:AF15)</f>
        <v>350000.00000000012</v>
      </c>
      <c r="AG16" s="162">
        <f>SUM(AG13:AG15)</f>
        <v>350000.00000000012</v>
      </c>
      <c r="AH16" s="171"/>
      <c r="AI16" s="529"/>
      <c r="AJ16" s="258"/>
    </row>
    <row r="17" spans="1:36" ht="6" customHeight="1" outlineLevel="1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I17" s="529"/>
      <c r="AJ17" s="258"/>
    </row>
    <row r="18" spans="1:36" s="4" customFormat="1" ht="18" customHeight="1" outlineLevel="1">
      <c r="A18" s="242" t="s">
        <v>99</v>
      </c>
      <c r="B18" s="161">
        <f t="shared" ref="B18:AG18" si="2">+B11+B16</f>
        <v>0</v>
      </c>
      <c r="C18" s="161">
        <f t="shared" ca="1" si="2"/>
        <v>225197.65714799368</v>
      </c>
      <c r="D18" s="161">
        <f t="shared" ca="1" si="2"/>
        <v>517983.00137055921</v>
      </c>
      <c r="E18" s="161">
        <f t="shared" ca="1" si="2"/>
        <v>562359.90937058488</v>
      </c>
      <c r="F18" s="161">
        <f t="shared" ca="1" si="2"/>
        <v>605739.96023674752</v>
      </c>
      <c r="G18" s="161">
        <f t="shared" ca="1" si="2"/>
        <v>654990.28762690653</v>
      </c>
      <c r="H18" s="161">
        <f t="shared" ca="1" si="2"/>
        <v>724853.91225229879</v>
      </c>
      <c r="I18" s="161">
        <f t="shared" ca="1" si="2"/>
        <v>769662.78899993305</v>
      </c>
      <c r="J18" s="161">
        <f t="shared" ca="1" si="2"/>
        <v>844364.48381646525</v>
      </c>
      <c r="K18" s="161">
        <f t="shared" ca="1" si="2"/>
        <v>921903.99791748263</v>
      </c>
      <c r="L18" s="161">
        <f t="shared" ca="1" si="2"/>
        <v>1002364.7720956127</v>
      </c>
      <c r="M18" s="161">
        <f t="shared" ca="1" si="2"/>
        <v>1085832.4558003694</v>
      </c>
      <c r="N18" s="161">
        <f t="shared" ca="1" si="2"/>
        <v>1126332.4556961665</v>
      </c>
      <c r="O18" s="161">
        <f t="shared" ca="1" si="2"/>
        <v>1215045.9534172942</v>
      </c>
      <c r="P18" s="161">
        <f t="shared" ca="1" si="2"/>
        <v>1307013.9065989021</v>
      </c>
      <c r="Q18" s="161">
        <f t="shared" ca="1" si="2"/>
        <v>1402330.8445809283</v>
      </c>
      <c r="R18" s="161">
        <f t="shared" ca="1" si="2"/>
        <v>1501093.783790933</v>
      </c>
      <c r="S18" s="161">
        <f t="shared" ca="1" si="2"/>
        <v>1542704.3269908554</v>
      </c>
      <c r="T18" s="161">
        <f t="shared" ca="1" si="2"/>
        <v>1647297.9581226511</v>
      </c>
      <c r="U18" s="161">
        <f t="shared" ca="1" si="2"/>
        <v>1755613.6004883084</v>
      </c>
      <c r="V18" s="161">
        <f t="shared" ca="1" si="2"/>
        <v>1867758.1676892615</v>
      </c>
      <c r="W18" s="161">
        <f t="shared" ca="1" si="2"/>
        <v>1988036.8664826793</v>
      </c>
      <c r="X18" s="161">
        <f t="shared" ca="1" si="2"/>
        <v>2035244.5838103173</v>
      </c>
      <c r="Y18" s="161">
        <f t="shared" ca="1" si="2"/>
        <v>2158075.3049100442</v>
      </c>
      <c r="Z18" s="161">
        <f t="shared" ca="1" si="2"/>
        <v>2285159.50442428</v>
      </c>
      <c r="AA18" s="161">
        <f t="shared" ca="1" si="2"/>
        <v>2416618.1019690922</v>
      </c>
      <c r="AB18" s="161">
        <f t="shared" ca="1" si="2"/>
        <v>2552575.1640597936</v>
      </c>
      <c r="AC18" s="161">
        <f t="shared" ca="1" si="2"/>
        <v>2608933.7498511304</v>
      </c>
      <c r="AD18" s="161">
        <f t="shared" ca="1" si="2"/>
        <v>2752382.1545764077</v>
      </c>
      <c r="AE18" s="161">
        <f t="shared" ca="1" si="2"/>
        <v>2900678.4480205295</v>
      </c>
      <c r="AF18" s="161">
        <f t="shared" ca="1" si="2"/>
        <v>3053959.1303485618</v>
      </c>
      <c r="AG18" s="162">
        <f t="shared" ca="1" si="2"/>
        <v>3212364.2364163259</v>
      </c>
      <c r="AH18" s="171"/>
      <c r="AI18" s="529"/>
      <c r="AJ18" s="258"/>
    </row>
    <row r="19" spans="1:36" ht="6.75" customHeight="1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I19" s="529"/>
      <c r="AJ19" s="258"/>
    </row>
    <row r="20" spans="1:36" ht="18" customHeight="1">
      <c r="A20" s="4" t="s">
        <v>13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I20" s="529"/>
      <c r="AJ20" s="258"/>
    </row>
    <row r="21" spans="1:36" ht="6" customHeight="1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I21" s="529"/>
      <c r="AJ21" s="258"/>
    </row>
    <row r="22" spans="1:36" ht="18" hidden="1" customHeight="1" outlineLevel="1">
      <c r="A22" s="3" t="s">
        <v>14</v>
      </c>
      <c r="B22" s="21">
        <v>0</v>
      </c>
      <c r="C22" s="21">
        <f ca="1">IF((B7-B22+CF!C19)&gt;0,0,-(B7-B22+CF!C19))</f>
        <v>0</v>
      </c>
      <c r="D22" s="21">
        <f ca="1">IF((C7-C22+CF!D19)&gt;0,0,-(C7-C22+CF!D19))</f>
        <v>0</v>
      </c>
      <c r="E22" s="21">
        <f ca="1">IF((D7-D22+CF!E19)&gt;0,0,-(D7-D22+CF!E19))</f>
        <v>0</v>
      </c>
      <c r="F22" s="21">
        <f ca="1">IF((E7-E22+CF!F19)&gt;0,0,-(E7-E22+CF!F19))</f>
        <v>0</v>
      </c>
      <c r="G22" s="21">
        <f ca="1">IF((F7-F22+CF!G19)&gt;0,0,-(F7-F22+CF!G19))</f>
        <v>0</v>
      </c>
      <c r="H22" s="21">
        <f ca="1">IF((G7-G22+CF!H19)&gt;0,0,-(G7-G22+CF!H19))</f>
        <v>0</v>
      </c>
      <c r="I22" s="21">
        <f ca="1">IF((H7-H22+CF!I19)&gt;0,0,-(H7-H22+CF!I19))</f>
        <v>0</v>
      </c>
      <c r="J22" s="21">
        <f ca="1">IF((I7-I22+CF!J19)&gt;0,0,-(I7-I22+CF!J19))</f>
        <v>0</v>
      </c>
      <c r="K22" s="21">
        <f ca="1">IF((J7-J22+CF!K19)&gt;0,0,-(J7-J22+CF!K19))</f>
        <v>0</v>
      </c>
      <c r="L22" s="21">
        <f ca="1">IF((K7-K22+CF!L19)&gt;0,0,-(K7-K22+CF!L19))</f>
        <v>0</v>
      </c>
      <c r="M22" s="21">
        <f ca="1">IF((L7-L22+CF!M19)&gt;0,0,-(L7-L22+CF!M19))</f>
        <v>0</v>
      </c>
      <c r="N22" s="21">
        <f ca="1">IF((M7-M22+CF!N19)&gt;0,0,-(M7-M22+CF!N19))</f>
        <v>0</v>
      </c>
      <c r="O22" s="21">
        <f ca="1">IF((N7-N22+CF!O19)&gt;0,0,-(N7-N22+CF!O19))</f>
        <v>0</v>
      </c>
      <c r="P22" s="21">
        <f ca="1">IF((O7-O22+CF!P19)&gt;0,0,-(O7-O22+CF!P19))</f>
        <v>0</v>
      </c>
      <c r="Q22" s="21">
        <f ca="1">IF((P7-P22+CF!Q19)&gt;0,0,-(P7-P22+CF!Q19))</f>
        <v>0</v>
      </c>
      <c r="R22" s="21">
        <f ca="1">IF((Q7-Q22+CF!R19)&gt;0,0,-(Q7-Q22+CF!R19))</f>
        <v>0</v>
      </c>
      <c r="S22" s="21">
        <f ca="1">IF((R7-R22+CF!S19)&gt;0,0,-(R7-R22+CF!S19))</f>
        <v>0</v>
      </c>
      <c r="T22" s="21">
        <f ca="1">IF((S7-S22+CF!T19)&gt;0,0,-(S7-S22+CF!T19))</f>
        <v>0</v>
      </c>
      <c r="U22" s="21">
        <f ca="1">IF((T7-T22+CF!U19)&gt;0,0,-(T7-T22+CF!U19))</f>
        <v>0</v>
      </c>
      <c r="V22" s="21">
        <f ca="1">IF((U7-U22+CF!V19)&gt;0,0,-(U7-U22+CF!V19))</f>
        <v>0</v>
      </c>
      <c r="W22" s="21">
        <f ca="1">IF((V7-V22+CF!W19)&gt;0,0,-(V7-V22+CF!W19))</f>
        <v>0</v>
      </c>
      <c r="X22" s="21">
        <f ca="1">IF((W7-W22+CF!X19)&gt;0,0,-(W7-W22+CF!X19))</f>
        <v>0</v>
      </c>
      <c r="Y22" s="21">
        <f ca="1">IF((X7-X22+CF!Y19)&gt;0,0,-(X7-X22+CF!Y19))</f>
        <v>0</v>
      </c>
      <c r="Z22" s="21">
        <f ca="1">IF((Y7-Y22+CF!Z19)&gt;0,0,-(Y7-Y22+CF!Z19))</f>
        <v>0</v>
      </c>
      <c r="AA22" s="21">
        <f ca="1">IF((Z7-Z22+CF!AA19)&gt;0,0,-(Z7-Z22+CF!AA19))</f>
        <v>0</v>
      </c>
      <c r="AB22" s="21">
        <f ca="1">IF((AA7-AA22+CF!AB19)&gt;0,0,-(AA7-AA22+CF!AB19))</f>
        <v>0</v>
      </c>
      <c r="AC22" s="21">
        <f ca="1">IF((AB7-AB22+CF!AC19)&gt;0,0,-(AB7-AB22+CF!AC19))</f>
        <v>0</v>
      </c>
      <c r="AD22" s="21">
        <f ca="1">IF((AC7-AC22+CF!AD19)&gt;0,0,-(AC7-AC22+CF!AD19))</f>
        <v>0</v>
      </c>
      <c r="AE22" s="21">
        <f ca="1">IF((AD7-AD22+CF!AE19)&gt;0,0,-(AD7-AD22+CF!AE19))</f>
        <v>0</v>
      </c>
      <c r="AF22" s="21">
        <f ca="1">IF((AE7-AE22+CF!AF19)&gt;0,0,-(AE7-AE22+CF!AF19))</f>
        <v>0</v>
      </c>
      <c r="AG22" s="21">
        <f ca="1">IF((AF7-AF22+CF!AG19)&gt;0,0,-(AF7-AF22+CF!AG19))</f>
        <v>0</v>
      </c>
      <c r="AI22" s="529"/>
      <c r="AJ22" s="258"/>
    </row>
    <row r="23" spans="1:36" ht="18" hidden="1" customHeight="1" outlineLevel="1">
      <c r="A23" s="3" t="s">
        <v>25</v>
      </c>
      <c r="B23" s="21">
        <v>0</v>
      </c>
      <c r="C23" s="21">
        <f>('Imm.  Mat.'!E362+Iva!C10)/360*Ipotesi!C5</f>
        <v>0</v>
      </c>
      <c r="D23" s="21">
        <f>('Imm.  Mat.'!F362+Iva!D10)/360*Ipotesi!D5</f>
        <v>0</v>
      </c>
      <c r="E23" s="21">
        <f>('Imm.  Mat.'!G362+Iva!E10)/360*Ipotesi!E5</f>
        <v>0</v>
      </c>
      <c r="F23" s="21">
        <f>('Imm.  Mat.'!H362+Iva!F10)/360*Ipotesi!F5</f>
        <v>0</v>
      </c>
      <c r="G23" s="21">
        <f>('Imm.  Mat.'!I362+Iva!G10)/360*Ipotesi!G5</f>
        <v>0</v>
      </c>
      <c r="H23" s="21">
        <f>('Imm.  Mat.'!J362+Iva!H10)/360*Ipotesi!H5</f>
        <v>0</v>
      </c>
      <c r="I23" s="21">
        <f>('Imm.  Mat.'!K362+Iva!I10)/360*Ipotesi!I5</f>
        <v>0</v>
      </c>
      <c r="J23" s="21">
        <f>('Imm.  Mat.'!L362+Iva!J10)/360*Ipotesi!J5</f>
        <v>0</v>
      </c>
      <c r="K23" s="21">
        <f>('Imm.  Mat.'!M362+Iva!K10)/360*Ipotesi!K5</f>
        <v>0</v>
      </c>
      <c r="L23" s="21">
        <f>('Imm.  Mat.'!N362+Iva!L10)/360*Ipotesi!L5</f>
        <v>0</v>
      </c>
      <c r="M23" s="21">
        <f>('Imm.  Mat.'!O362+Iva!M10)/360*Ipotesi!M5</f>
        <v>0</v>
      </c>
      <c r="N23" s="21">
        <f>('Imm.  Mat.'!P362+Iva!N10)/360*Ipotesi!N5</f>
        <v>0</v>
      </c>
      <c r="O23" s="21">
        <f>('Imm.  Mat.'!Q362+Iva!O10)/360*Ipotesi!O5</f>
        <v>0</v>
      </c>
      <c r="P23" s="21">
        <f>('Imm.  Mat.'!R362+Iva!P10)/360*Ipotesi!P5</f>
        <v>0</v>
      </c>
      <c r="Q23" s="21">
        <f>('Imm.  Mat.'!S362+Iva!Q10)/360*Ipotesi!Q5</f>
        <v>0</v>
      </c>
      <c r="R23" s="21">
        <f>('Imm.  Mat.'!T362+Iva!R10)/360*Ipotesi!R5</f>
        <v>0</v>
      </c>
      <c r="S23" s="21">
        <f>('Imm.  Mat.'!U362+Iva!S10)/360*Ipotesi!S5</f>
        <v>0</v>
      </c>
      <c r="T23" s="21">
        <f>('Imm.  Mat.'!V362+Iva!T10)/360*Ipotesi!T5</f>
        <v>0</v>
      </c>
      <c r="U23" s="21">
        <f>('Imm.  Mat.'!W362+Iva!U10)/360*Ipotesi!U5</f>
        <v>0</v>
      </c>
      <c r="V23" s="21">
        <f>('Imm.  Mat.'!X362+Iva!V10)/360*Ipotesi!V5</f>
        <v>0</v>
      </c>
      <c r="W23" s="21">
        <f>('Imm.  Mat.'!Y362+Iva!W10)/360*Ipotesi!W5</f>
        <v>0</v>
      </c>
      <c r="X23" s="21">
        <f>('Imm.  Mat.'!Z362+Iva!X10)/360*Ipotesi!X5</f>
        <v>0</v>
      </c>
      <c r="Y23" s="21">
        <f>('Imm.  Mat.'!AA362+Iva!Y10)/360*Ipotesi!Y5</f>
        <v>0</v>
      </c>
      <c r="Z23" s="21">
        <f>('Imm.  Mat.'!AB362+Iva!Z10)/360*Ipotesi!Z5</f>
        <v>0</v>
      </c>
      <c r="AA23" s="21">
        <f>('Imm.  Mat.'!AC362+Iva!AA10)/360*Ipotesi!AA5</f>
        <v>0</v>
      </c>
      <c r="AB23" s="21">
        <f>('Imm.  Mat.'!AD362+Iva!AB10)/360*Ipotesi!AB5</f>
        <v>0</v>
      </c>
      <c r="AC23" s="21">
        <f>('Imm.  Mat.'!AE362+Iva!AC10)/360*Ipotesi!AC5</f>
        <v>0</v>
      </c>
      <c r="AD23" s="21">
        <f>('Imm.  Mat.'!AF362+Iva!AD10)/360*Ipotesi!AD5</f>
        <v>0</v>
      </c>
      <c r="AE23" s="21">
        <f>('Imm.  Mat.'!AG362+Iva!AE10)/360*Ipotesi!AE5</f>
        <v>0</v>
      </c>
      <c r="AF23" s="21">
        <f>('Imm.  Mat.'!AH362+Iva!AF10)/360*Ipotesi!AF5</f>
        <v>0</v>
      </c>
      <c r="AG23" s="21">
        <f>('Imm.  Mat.'!AI362+Iva!AG10)/360*Ipotesi!AG5</f>
        <v>0</v>
      </c>
      <c r="AI23" s="529"/>
    </row>
    <row r="24" spans="1:36" ht="18" customHeight="1" collapsed="1">
      <c r="A24" s="3" t="s">
        <v>15</v>
      </c>
      <c r="B24" s="21">
        <v>0</v>
      </c>
      <c r="C24" s="21">
        <f>-(CE!E10+CE!E11+CE!E13+CE!E14+CE!E16)/360*Ipotesi!B4*1.22</f>
        <v>18065.353333333336</v>
      </c>
      <c r="D24" s="21">
        <f>-(CE!F10+CE!F11+CE!F13+CE!F14+CE!F16)/360*Ipotesi!C4*1.22</f>
        <v>18372.464339999999</v>
      </c>
      <c r="E24" s="21">
        <f>-(CE!G10+CE!G11+CE!G13+CE!G14+CE!G16)/360*Ipotesi!D4*1.22</f>
        <v>18684.796233779995</v>
      </c>
      <c r="F24" s="21">
        <f>-(CE!H10+CE!H11+CE!H13+CE!H14+CE!H16)/360*Ipotesi!E4</f>
        <v>15575.768663732995</v>
      </c>
      <c r="G24" s="21">
        <f>-(CE!I10+CE!I11+CE!I13+CE!I14+CE!I16)/360*Ipotesi!F4</f>
        <v>15840.556731016452</v>
      </c>
      <c r="H24" s="21">
        <f>-(CE!J10+CE!J11+CE!J13+CE!J14+CE!J16)/360*Ipotesi!G4</f>
        <v>16109.846195443732</v>
      </c>
      <c r="I24" s="21">
        <f>-(CE!K10+CE!K11+CE!K13+CE!K14+CE!K16)/360*Ipotesi!H4</f>
        <v>16383.713580766271</v>
      </c>
      <c r="J24" s="21">
        <f>-(CE!L10+CE!L11+CE!L13+CE!L14+CE!L16)/360*Ipotesi!I4</f>
        <v>16662.236711639296</v>
      </c>
      <c r="K24" s="21">
        <f>-(CE!M10+CE!M11+CE!M13+CE!M14+CE!M16)/360*Ipotesi!J4</f>
        <v>16945.49473573716</v>
      </c>
      <c r="L24" s="21">
        <f>-(CE!N10+CE!N11+CE!N13+CE!N14+CE!N16)/360*Ipotesi!K4</f>
        <v>17233.568146244696</v>
      </c>
      <c r="M24" s="21">
        <f>-(CE!O10+CE!O11+CE!O13+CE!O14+CE!O16)/360*Ipotesi!L4</f>
        <v>17526.538804730848</v>
      </c>
      <c r="N24" s="21">
        <f>-(CE!P10+CE!P11+CE!P13+CE!P14+CE!P16)/360*Ipotesi!M4</f>
        <v>17824.489964411274</v>
      </c>
      <c r="O24" s="21">
        <f>-(CE!Q10+CE!Q11+CE!Q13+CE!Q14+CE!Q16)/360*Ipotesi!N4</f>
        <v>18127.506293806262</v>
      </c>
      <c r="P24" s="21">
        <f>-(CE!R10+CE!R11+CE!R13+CE!R14+CE!R16)/360*Ipotesi!O4</f>
        <v>18435.673900800972</v>
      </c>
      <c r="Q24" s="21">
        <f>-(CE!S10+CE!S11+CE!S13+CE!S14+CE!S16)/360*Ipotesi!P4</f>
        <v>18749.080357114588</v>
      </c>
      <c r="R24" s="21">
        <f>-(CE!T10+CE!T11+CE!T13+CE!T14+CE!T16)/360*Ipotesi!Q4</f>
        <v>19067.814723185529</v>
      </c>
      <c r="S24" s="21">
        <f>-(CE!U10+CE!U11+CE!U13+CE!U14+CE!U16)/360*Ipotesi!R4</f>
        <v>19391.967573479684</v>
      </c>
      <c r="T24" s="21">
        <f>-(CE!V10+CE!V11+CE!V13+CE!V14+CE!V16)/360*Ipotesi!S4</f>
        <v>19721.631022228834</v>
      </c>
      <c r="U24" s="21">
        <f>-(CE!W10+CE!W11+CE!W13+CE!W14+CE!W16)/360*Ipotesi!T4</f>
        <v>20056.89874960672</v>
      </c>
      <c r="V24" s="21">
        <f>-(CE!X10+CE!X11+CE!X13+CE!X14+CE!X16)/360*Ipotesi!U4</f>
        <v>20397.866028350036</v>
      </c>
      <c r="W24" s="21">
        <f>-(CE!Y10+CE!Y11+CE!Y13+CE!Y14+CE!Y16)/360*Ipotesi!V4*1.2</f>
        <v>24893.555700998379</v>
      </c>
      <c r="X24" s="21">
        <f>-(CE!Z10+CE!Z11+CE!Z13+CE!Z14+CE!Z16)/360*Ipotesi!W4*1.2</f>
        <v>25316.746147915354</v>
      </c>
      <c r="Y24" s="21">
        <f>-(CE!AA10+CE!AA11+CE!AA13+CE!AA14+CE!AA16)/360*Ipotesi!X4*1.2</f>
        <v>25747.130832429913</v>
      </c>
      <c r="Z24" s="21">
        <f>-(CE!AB10+CE!AB11+CE!AB13+CE!AB14+CE!AB16)/360*Ipotesi!Y4*1.2</f>
        <v>26184.832056581214</v>
      </c>
      <c r="AA24" s="21">
        <f>-(CE!AC10+CE!AC11+CE!AC13+CE!AC14+CE!AC16)/360*Ipotesi!Z4*1.2</f>
        <v>26629.974201543093</v>
      </c>
      <c r="AB24" s="21">
        <f>-(CE!AD10+CE!AD11+CE!AD13+CE!AD14+CE!AD16)/360*Ipotesi!AA4*1.2</f>
        <v>27082.683762969329</v>
      </c>
      <c r="AC24" s="21">
        <f>-(CE!AE10+CE!AE11+CE!AE13+CE!AE14+CE!AE16)/360*Ipotesi!AB4*1.2</f>
        <v>27543.089386939806</v>
      </c>
      <c r="AD24" s="21">
        <f>-(CE!AF10+CE!AF11+CE!AF13+CE!AF14+CE!AF16)/360*Ipotesi!AC4*1.2</f>
        <v>28011.32190651778</v>
      </c>
      <c r="AE24" s="21">
        <f>-(CE!AG10+CE!AG11+CE!AG13+CE!AG14+CE!AG16)/360*Ipotesi!AD4*1.2</f>
        <v>28487.514378928576</v>
      </c>
      <c r="AF24" s="21">
        <f>-(CE!AH10+CE!AH11+CE!AH13+CE!AH14+CE!AH16)/360*Ipotesi!AE4*1.2</f>
        <v>28971.802123370366</v>
      </c>
      <c r="AG24" s="21">
        <f>-(CE!AI10+CE!AI11+CE!AI13+CE!AI14+CE!AI16)/360*Ipotesi!AF4*1.2</f>
        <v>29464.322759467661</v>
      </c>
      <c r="AI24" s="529"/>
    </row>
    <row r="25" spans="1:36" ht="18" customHeight="1">
      <c r="A25" s="3" t="s">
        <v>130</v>
      </c>
      <c r="B25" s="21"/>
      <c r="C25" s="21">
        <f>IF(Ipotesi!C6=1,SP!C30/2,0)</f>
        <v>0</v>
      </c>
      <c r="D25" s="21">
        <f>IF(Ipotesi!D6="si",SP!D30/2,0)</f>
        <v>0</v>
      </c>
      <c r="E25" s="21">
        <f>IF(Ipotesi!E6="si",SP!E30/2,0)</f>
        <v>0</v>
      </c>
      <c r="F25" s="21">
        <f>IF(Ipotesi!F6="si",SP!F30/2,0)</f>
        <v>0</v>
      </c>
      <c r="G25" s="21">
        <f>IF(Ipotesi!G6="si",SP!G30/2,0)</f>
        <v>0</v>
      </c>
      <c r="H25" s="21">
        <f ca="1">IF(Ipotesi!H6="si",SP!H30/2,0)</f>
        <v>27437.497661113015</v>
      </c>
      <c r="I25" s="21">
        <f>IF(Ipotesi!I6="si",SP!I30/2,0)</f>
        <v>0</v>
      </c>
      <c r="J25" s="21">
        <f>IF(Ipotesi!J6="si",SP!J30/2,0)</f>
        <v>0</v>
      </c>
      <c r="K25" s="21">
        <f>IF(Ipotesi!K6="si",SP!K30/2,0)</f>
        <v>0</v>
      </c>
      <c r="L25" s="21">
        <f>IF(Ipotesi!L6="si",SP!L30/2,0)</f>
        <v>0</v>
      </c>
      <c r="M25" s="21">
        <f ca="1">IF(Ipotesi!M6="si",SP!M30/2,0)</f>
        <v>45551.212903002874</v>
      </c>
      <c r="N25" s="21">
        <f>IF(Ipotesi!N6="si",SP!N30/2,0)</f>
        <v>0</v>
      </c>
      <c r="O25" s="21">
        <f>IF(Ipotesi!O6="si",SP!O30/2,0)</f>
        <v>0</v>
      </c>
      <c r="P25" s="21">
        <f>IF(Ipotesi!P6="si",SP!P30/2,0)</f>
        <v>0</v>
      </c>
      <c r="Q25" s="21">
        <f>IF(Ipotesi!Q6="si",SP!Q30/2,0)</f>
        <v>0</v>
      </c>
      <c r="R25" s="21">
        <f ca="1">IF(Ipotesi!R6="si",SP!R30/2,0)</f>
        <v>60024.215404028859</v>
      </c>
      <c r="S25" s="21">
        <f>IF(Ipotesi!S6="si",SP!S30/2,0)</f>
        <v>0</v>
      </c>
      <c r="T25" s="21">
        <f>IF(Ipotesi!T6="si",SP!T30/2,0)</f>
        <v>0</v>
      </c>
      <c r="U25" s="21">
        <f>IF(Ipotesi!U6="si",SP!U30/2,0)</f>
        <v>0</v>
      </c>
      <c r="V25" s="21">
        <f>IF(Ipotesi!V6="si",SP!V30/2,0)</f>
        <v>0</v>
      </c>
      <c r="W25" s="21">
        <f ca="1">IF(Ipotesi!W6="si",SP!W30/2,0)</f>
        <v>72280.884091097119</v>
      </c>
      <c r="X25" s="21">
        <f>IF(Ipotesi!X6="si",SP!X30/2,0)</f>
        <v>0</v>
      </c>
      <c r="Y25" s="21">
        <f>IF(Ipotesi!Y6="si",SP!Y30/2,0)</f>
        <v>0</v>
      </c>
      <c r="Z25" s="21">
        <f>IF(Ipotesi!Z6="si",SP!Z30/2,0)</f>
        <v>0</v>
      </c>
      <c r="AA25" s="21">
        <f>IF(Ipotesi!AA6="si",SP!AA30/2,0)</f>
        <v>0</v>
      </c>
      <c r="AB25" s="21">
        <f ca="1">IF(Ipotesi!AB6="si",SP!AB30/2,0)</f>
        <v>83289.343277097505</v>
      </c>
      <c r="AC25" s="21">
        <f>IF(Ipotesi!AC6="si",SP!AC30/2,0)</f>
        <v>0</v>
      </c>
      <c r="AD25" s="21">
        <f>IF(Ipotesi!AD6="si",SP!AD30/2,0)</f>
        <v>0</v>
      </c>
      <c r="AE25" s="21">
        <f>IF(Ipotesi!AE6="si",SP!AE30/2,0)</f>
        <v>0</v>
      </c>
      <c r="AF25" s="21">
        <f>IF(Ipotesi!AF6="si",SP!AF30/2,0)</f>
        <v>0</v>
      </c>
      <c r="AG25" s="21">
        <f>IF(Ipotesi!AG6="si",SP!AG30/2,0)</f>
        <v>0</v>
      </c>
      <c r="AI25" s="529"/>
    </row>
    <row r="26" spans="1:36" s="4" customFormat="1" ht="18" customHeight="1">
      <c r="A26" s="242" t="s">
        <v>95</v>
      </c>
      <c r="B26" s="161">
        <f>SUM(B22:B25)</f>
        <v>0</v>
      </c>
      <c r="C26" s="161">
        <f t="shared" ref="C26:AG26" ca="1" si="3">SUM(C22:C25)</f>
        <v>18065.353333333336</v>
      </c>
      <c r="D26" s="161">
        <f t="shared" ca="1" si="3"/>
        <v>18372.464339999999</v>
      </c>
      <c r="E26" s="161">
        <f t="shared" ca="1" si="3"/>
        <v>18684.796233779995</v>
      </c>
      <c r="F26" s="161">
        <f t="shared" ca="1" si="3"/>
        <v>15575.768663732995</v>
      </c>
      <c r="G26" s="161">
        <f t="shared" ca="1" si="3"/>
        <v>15840.556731016452</v>
      </c>
      <c r="H26" s="161">
        <f t="shared" ca="1" si="3"/>
        <v>43547.343856556749</v>
      </c>
      <c r="I26" s="161">
        <f t="shared" ca="1" si="3"/>
        <v>16383.713580766271</v>
      </c>
      <c r="J26" s="161">
        <f t="shared" ca="1" si="3"/>
        <v>16662.236711639296</v>
      </c>
      <c r="K26" s="161">
        <f t="shared" ca="1" si="3"/>
        <v>16945.49473573716</v>
      </c>
      <c r="L26" s="161">
        <f t="shared" ca="1" si="3"/>
        <v>17233.568146244696</v>
      </c>
      <c r="M26" s="161">
        <f t="shared" ca="1" si="3"/>
        <v>63077.751707733725</v>
      </c>
      <c r="N26" s="161">
        <f t="shared" ca="1" si="3"/>
        <v>17824.489964411274</v>
      </c>
      <c r="O26" s="161">
        <f t="shared" ca="1" si="3"/>
        <v>18127.506293806262</v>
      </c>
      <c r="P26" s="161">
        <f t="shared" ca="1" si="3"/>
        <v>18435.673900800972</v>
      </c>
      <c r="Q26" s="161">
        <f t="shared" ca="1" si="3"/>
        <v>18749.080357114588</v>
      </c>
      <c r="R26" s="161">
        <f t="shared" ca="1" si="3"/>
        <v>79092.030127214384</v>
      </c>
      <c r="S26" s="161">
        <f t="shared" ca="1" si="3"/>
        <v>19391.967573479684</v>
      </c>
      <c r="T26" s="161">
        <f t="shared" ca="1" si="3"/>
        <v>19721.631022228834</v>
      </c>
      <c r="U26" s="161">
        <f t="shared" ca="1" si="3"/>
        <v>20056.89874960672</v>
      </c>
      <c r="V26" s="161">
        <f t="shared" ca="1" si="3"/>
        <v>20397.866028350036</v>
      </c>
      <c r="W26" s="161">
        <f t="shared" ca="1" si="3"/>
        <v>97174.439792095494</v>
      </c>
      <c r="X26" s="161">
        <f t="shared" ca="1" si="3"/>
        <v>25316.746147915354</v>
      </c>
      <c r="Y26" s="161">
        <f t="shared" ca="1" si="3"/>
        <v>25747.130832429913</v>
      </c>
      <c r="Z26" s="161">
        <f t="shared" ca="1" si="3"/>
        <v>26184.832056581214</v>
      </c>
      <c r="AA26" s="161">
        <f t="shared" ca="1" si="3"/>
        <v>26629.974201543093</v>
      </c>
      <c r="AB26" s="161">
        <f t="shared" ca="1" si="3"/>
        <v>110372.02704006684</v>
      </c>
      <c r="AC26" s="161">
        <f t="shared" ca="1" si="3"/>
        <v>27543.089386939806</v>
      </c>
      <c r="AD26" s="161">
        <f t="shared" ca="1" si="3"/>
        <v>28011.32190651778</v>
      </c>
      <c r="AE26" s="161">
        <f t="shared" ca="1" si="3"/>
        <v>28487.514378928576</v>
      </c>
      <c r="AF26" s="161">
        <f t="shared" ca="1" si="3"/>
        <v>28971.802123370366</v>
      </c>
      <c r="AG26" s="162">
        <f t="shared" ca="1" si="3"/>
        <v>29464.322759467661</v>
      </c>
      <c r="AH26" s="171"/>
      <c r="AI26" s="529"/>
    </row>
    <row r="27" spans="1:36" ht="6" customHeight="1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I27" s="529"/>
    </row>
    <row r="28" spans="1:36" ht="18" hidden="1" customHeight="1" outlineLevel="1">
      <c r="A28" s="3" t="s">
        <v>16</v>
      </c>
      <c r="B28" s="21"/>
      <c r="C28" s="21">
        <f>'Finanz. bancari'!B62</f>
        <v>0</v>
      </c>
      <c r="D28" s="21">
        <f>'Finanz. bancari'!C62</f>
        <v>0</v>
      </c>
      <c r="E28" s="21">
        <f>'Finanz. bancari'!D62</f>
        <v>0</v>
      </c>
      <c r="F28" s="21">
        <f>'Finanz. bancari'!E62</f>
        <v>0</v>
      </c>
      <c r="G28" s="21">
        <f>'Finanz. bancari'!F62</f>
        <v>0</v>
      </c>
      <c r="H28" s="21">
        <f>'Finanz. bancari'!G62</f>
        <v>0</v>
      </c>
      <c r="I28" s="21">
        <f>'Finanz. bancari'!H62</f>
        <v>0</v>
      </c>
      <c r="J28" s="21">
        <f>'Finanz. bancari'!I62</f>
        <v>0</v>
      </c>
      <c r="K28" s="21">
        <f>'Finanz. bancari'!J62</f>
        <v>0</v>
      </c>
      <c r="L28" s="21">
        <f>'Finanz. bancari'!K62</f>
        <v>0</v>
      </c>
      <c r="M28" s="21">
        <f>'Finanz. bancari'!L62</f>
        <v>0</v>
      </c>
      <c r="N28" s="21">
        <f>'Finanz. bancari'!M62</f>
        <v>0</v>
      </c>
      <c r="O28" s="21">
        <f>'Finanz. bancari'!N62</f>
        <v>0</v>
      </c>
      <c r="P28" s="21">
        <f>'Finanz. bancari'!O62</f>
        <v>0</v>
      </c>
      <c r="Q28" s="21">
        <f>'Finanz. bancari'!P62</f>
        <v>0</v>
      </c>
      <c r="R28" s="21">
        <f>'Finanz. bancari'!Q62</f>
        <v>0</v>
      </c>
      <c r="S28" s="21">
        <f>'Finanz. bancari'!R62</f>
        <v>0</v>
      </c>
      <c r="T28" s="21">
        <f>'Finanz. bancari'!S62</f>
        <v>0</v>
      </c>
      <c r="U28" s="21">
        <f>'Finanz. bancari'!T62</f>
        <v>0</v>
      </c>
      <c r="V28" s="21">
        <f>'Finanz. bancari'!U62</f>
        <v>0</v>
      </c>
      <c r="W28" s="21">
        <f>'Finanz. bancari'!V62</f>
        <v>0</v>
      </c>
      <c r="X28" s="21">
        <f>'Finanz. bancari'!W62</f>
        <v>0</v>
      </c>
      <c r="Y28" s="21">
        <f>'Finanz. bancari'!X62</f>
        <v>0</v>
      </c>
      <c r="Z28" s="21">
        <f>'Finanz. bancari'!Y62</f>
        <v>0</v>
      </c>
      <c r="AA28" s="21">
        <f>'Finanz. bancari'!Z62</f>
        <v>0</v>
      </c>
      <c r="AB28" s="21">
        <f>'Finanz. bancari'!AA62</f>
        <v>0</v>
      </c>
      <c r="AC28" s="21">
        <f>'Finanz. bancari'!AB62</f>
        <v>0</v>
      </c>
      <c r="AD28" s="21">
        <f>'Finanz. bancari'!AC62</f>
        <v>0</v>
      </c>
      <c r="AE28" s="21">
        <f>'Finanz. bancari'!AD62</f>
        <v>0</v>
      </c>
      <c r="AF28" s="21">
        <f>'Finanz. bancari'!AE62</f>
        <v>0</v>
      </c>
      <c r="AG28" s="21">
        <f>'Finanz. bancari'!AF62</f>
        <v>0</v>
      </c>
      <c r="AI28" s="529"/>
    </row>
    <row r="29" spans="1:36" ht="18" customHeight="1" collapsed="1">
      <c r="A29" s="3" t="s">
        <v>38</v>
      </c>
      <c r="B29" s="21">
        <v>0</v>
      </c>
      <c r="C29" s="21">
        <f>B29-CE!E21</f>
        <v>3000</v>
      </c>
      <c r="D29" s="21">
        <f>C29-CE!F21</f>
        <v>8000</v>
      </c>
      <c r="E29" s="21">
        <f>D29-CE!G21</f>
        <v>13000</v>
      </c>
      <c r="F29" s="21">
        <f>E29-CE!H21</f>
        <v>18000</v>
      </c>
      <c r="G29" s="21">
        <f>F29-CE!I21</f>
        <v>23000</v>
      </c>
      <c r="H29" s="21">
        <f>G29-CE!J21</f>
        <v>28000</v>
      </c>
      <c r="I29" s="21">
        <f>H29-CE!K21</f>
        <v>33000</v>
      </c>
      <c r="J29" s="21">
        <f>I29-CE!L21</f>
        <v>38000</v>
      </c>
      <c r="K29" s="21">
        <f>J29-CE!M21</f>
        <v>43000</v>
      </c>
      <c r="L29" s="21">
        <f>K29-CE!N21</f>
        <v>48000</v>
      </c>
      <c r="M29" s="21">
        <f>L29-CE!O21</f>
        <v>53000</v>
      </c>
      <c r="N29" s="21">
        <f>M29-CE!P21</f>
        <v>58000</v>
      </c>
      <c r="O29" s="21">
        <f>N29-CE!Q21</f>
        <v>63000</v>
      </c>
      <c r="P29" s="21">
        <f>O29-CE!R21</f>
        <v>68000</v>
      </c>
      <c r="Q29" s="21">
        <f>P29-CE!S21</f>
        <v>73000</v>
      </c>
      <c r="R29" s="21">
        <f>Q29-CE!T21</f>
        <v>78000</v>
      </c>
      <c r="S29" s="21">
        <f>R29-CE!U21</f>
        <v>83000</v>
      </c>
      <c r="T29" s="21">
        <f>S29-CE!V21</f>
        <v>88000</v>
      </c>
      <c r="U29" s="21">
        <f>T29-CE!W21</f>
        <v>93000</v>
      </c>
      <c r="V29" s="21">
        <f>U29-CE!X21</f>
        <v>98000</v>
      </c>
      <c r="W29" s="21">
        <f>V29-CE!Y21</f>
        <v>103000</v>
      </c>
      <c r="X29" s="21">
        <f>W29-CE!Z21</f>
        <v>108000</v>
      </c>
      <c r="Y29" s="21">
        <f>X29-CE!AA21</f>
        <v>113000</v>
      </c>
      <c r="Z29" s="21">
        <f>Y29-CE!AB21</f>
        <v>118000</v>
      </c>
      <c r="AA29" s="21">
        <f>Z29-CE!AC21</f>
        <v>123000</v>
      </c>
      <c r="AB29" s="21">
        <f>AA29-CE!AD21</f>
        <v>128000</v>
      </c>
      <c r="AC29" s="21">
        <f>AB29-CE!AE21</f>
        <v>133000</v>
      </c>
      <c r="AD29" s="21">
        <f>AC29-CE!AF21</f>
        <v>138000</v>
      </c>
      <c r="AE29" s="21">
        <f>AD29-CE!AG21</f>
        <v>143000</v>
      </c>
      <c r="AF29" s="21">
        <f>AE29-CE!AH21</f>
        <v>148000</v>
      </c>
      <c r="AG29" s="21">
        <f>AF29-CE!AI21</f>
        <v>153000</v>
      </c>
      <c r="AI29" s="529"/>
    </row>
    <row r="30" spans="1:36" ht="18" customHeight="1">
      <c r="A30" s="3" t="s">
        <v>17</v>
      </c>
      <c r="B30" s="21">
        <v>0</v>
      </c>
      <c r="C30" s="21">
        <f>B30-CE!E20-C25</f>
        <v>7144.1222222222241</v>
      </c>
      <c r="D30" s="21">
        <f>C30-CE!F20-D25</f>
        <v>21675.266822222227</v>
      </c>
      <c r="E30" s="21">
        <f>D30-CE!G20-E25</f>
        <v>36453.440880422226</v>
      </c>
      <c r="F30" s="21">
        <f>E30-CE!H20-F25</f>
        <v>51482.843897611623</v>
      </c>
      <c r="G30" s="21">
        <f>F30-CE!I20-G25</f>
        <v>66767.746766093245</v>
      </c>
      <c r="H30" s="21">
        <f ca="1">G30-CE!J20-H25</f>
        <v>54874.995322226037</v>
      </c>
      <c r="I30" s="21">
        <f ca="1">H30-CE!K20-I25</f>
        <v>70684.002225165023</v>
      </c>
      <c r="J30" s="21">
        <f ca="1">I30-CE!L20-J25</f>
        <v>86761.762245453952</v>
      </c>
      <c r="K30" s="21">
        <f ca="1">J30-CE!M20-K25</f>
        <v>103112.84418608779</v>
      </c>
      <c r="L30" s="21">
        <f ca="1">K30-CE!N20-L25</f>
        <v>119741.89451971241</v>
      </c>
      <c r="M30" s="21">
        <f ca="1">L30-CE!O20-M25</f>
        <v>91102.425806005762</v>
      </c>
      <c r="N30" s="21">
        <f ca="1">M30-CE!P20-N25</f>
        <v>108301.66964652004</v>
      </c>
      <c r="O30" s="21">
        <f ca="1">N30-CE!Q20-O25</f>
        <v>125793.30063232305</v>
      </c>
      <c r="P30" s="21">
        <f ca="1">O30-CE!R20-P25</f>
        <v>143582.28934488472</v>
      </c>
      <c r="Q30" s="21">
        <f ca="1">P30-CE!S20-Q25</f>
        <v>161673.69086555994</v>
      </c>
      <c r="R30" s="21">
        <f ca="1">Q30-CE!T20-R25</f>
        <v>120048.43080805778</v>
      </c>
      <c r="S30" s="21">
        <f ca="1">R30-CE!U20-S25</f>
        <v>138760.16839547543</v>
      </c>
      <c r="T30" s="21">
        <f ca="1">S30-CE!V20-T25</f>
        <v>157790.00552187918</v>
      </c>
      <c r="U30" s="21">
        <f ca="1">T30-CE!W20-U25</f>
        <v>177143.34987943177</v>
      </c>
      <c r="V30" s="21">
        <f ca="1">U30-CE!X20-V25</f>
        <v>196825.70109106277</v>
      </c>
      <c r="W30" s="21">
        <f ca="1">V30-CE!Y20-W25</f>
        <v>144561.76818219438</v>
      </c>
      <c r="X30" s="21">
        <f ca="1">W30-CE!Z20-X25</f>
        <v>164919.00753452099</v>
      </c>
      <c r="Y30" s="21">
        <f ca="1">X30-CE!AA20-Y25</f>
        <v>185622.31995583716</v>
      </c>
      <c r="Z30" s="21">
        <f ca="1">Y30-CE!AB20-Z25</f>
        <v>206677.58868831568</v>
      </c>
      <c r="AA30" s="21">
        <f ca="1">Z30-CE!AC20-AA25</f>
        <v>228090.79698924633</v>
      </c>
      <c r="AB30" s="21">
        <f ca="1">AA30-CE!AD20-AB25</f>
        <v>166578.6865541953</v>
      </c>
      <c r="AC30" s="21">
        <f ca="1">AB30-CE!AE20-AC25</f>
        <v>188726.13235455658</v>
      </c>
      <c r="AD30" s="21">
        <f ca="1">AC30-CE!AF20-AD25</f>
        <v>211250.08473352401</v>
      </c>
      <c r="AE30" s="21">
        <f ca="1">AD30-CE!AG20-AE25</f>
        <v>234156.94430293387</v>
      </c>
      <c r="AF30" s="21">
        <f ca="1">AE30-CE!AH20-AF25</f>
        <v>257453.22048502369</v>
      </c>
      <c r="AG30" s="21">
        <f ca="1">AF30-CE!AI20-AG25</f>
        <v>281145.53336220904</v>
      </c>
      <c r="AI30" s="529"/>
    </row>
    <row r="31" spans="1:36" s="4" customFormat="1" ht="18" customHeight="1">
      <c r="A31" s="242" t="s">
        <v>96</v>
      </c>
      <c r="B31" s="161">
        <f t="shared" ref="B31:AG31" si="4">SUM(B28:B30)</f>
        <v>0</v>
      </c>
      <c r="C31" s="161">
        <f t="shared" si="4"/>
        <v>10144.122222222224</v>
      </c>
      <c r="D31" s="161">
        <f t="shared" si="4"/>
        <v>29675.266822222227</v>
      </c>
      <c r="E31" s="161">
        <f t="shared" si="4"/>
        <v>49453.440880422226</v>
      </c>
      <c r="F31" s="161">
        <f t="shared" si="4"/>
        <v>69482.84389761163</v>
      </c>
      <c r="G31" s="161">
        <f t="shared" si="4"/>
        <v>89767.746766093245</v>
      </c>
      <c r="H31" s="161">
        <f t="shared" ca="1" si="4"/>
        <v>82874.995322226037</v>
      </c>
      <c r="I31" s="161">
        <f t="shared" ca="1" si="4"/>
        <v>103684.00222516502</v>
      </c>
      <c r="J31" s="161">
        <f t="shared" ca="1" si="4"/>
        <v>124761.76224545395</v>
      </c>
      <c r="K31" s="161">
        <f t="shared" ca="1" si="4"/>
        <v>146112.84418608778</v>
      </c>
      <c r="L31" s="161">
        <f t="shared" ca="1" si="4"/>
        <v>167741.89451971243</v>
      </c>
      <c r="M31" s="161">
        <f t="shared" ca="1" si="4"/>
        <v>144102.42580600578</v>
      </c>
      <c r="N31" s="161">
        <f t="shared" ca="1" si="4"/>
        <v>166301.66964652005</v>
      </c>
      <c r="O31" s="161">
        <f t="shared" ca="1" si="4"/>
        <v>188793.30063232305</v>
      </c>
      <c r="P31" s="161">
        <f t="shared" ca="1" si="4"/>
        <v>211582.28934488472</v>
      </c>
      <c r="Q31" s="161">
        <f t="shared" ca="1" si="4"/>
        <v>234673.69086555994</v>
      </c>
      <c r="R31" s="161">
        <f t="shared" ca="1" si="4"/>
        <v>198048.43080805778</v>
      </c>
      <c r="S31" s="161">
        <f t="shared" ca="1" si="4"/>
        <v>221760.16839547543</v>
      </c>
      <c r="T31" s="161">
        <f t="shared" ca="1" si="4"/>
        <v>245790.00552187918</v>
      </c>
      <c r="U31" s="161">
        <f t="shared" ca="1" si="4"/>
        <v>270143.34987943177</v>
      </c>
      <c r="V31" s="161">
        <f t="shared" ca="1" si="4"/>
        <v>294825.70109106274</v>
      </c>
      <c r="W31" s="161">
        <f t="shared" ca="1" si="4"/>
        <v>247561.76818219438</v>
      </c>
      <c r="X31" s="161">
        <f t="shared" ca="1" si="4"/>
        <v>272919.00753452099</v>
      </c>
      <c r="Y31" s="161">
        <f t="shared" ca="1" si="4"/>
        <v>298622.31995583716</v>
      </c>
      <c r="Z31" s="161">
        <f t="shared" ca="1" si="4"/>
        <v>324677.58868831571</v>
      </c>
      <c r="AA31" s="161">
        <f t="shared" ca="1" si="4"/>
        <v>351090.79698924633</v>
      </c>
      <c r="AB31" s="161">
        <f t="shared" ca="1" si="4"/>
        <v>294578.6865541953</v>
      </c>
      <c r="AC31" s="161">
        <f t="shared" ca="1" si="4"/>
        <v>321726.13235455658</v>
      </c>
      <c r="AD31" s="161">
        <f t="shared" ca="1" si="4"/>
        <v>349250.08473352401</v>
      </c>
      <c r="AE31" s="161">
        <f t="shared" ca="1" si="4"/>
        <v>377156.94430293387</v>
      </c>
      <c r="AF31" s="161">
        <f t="shared" ca="1" si="4"/>
        <v>405453.22048502369</v>
      </c>
      <c r="AG31" s="162">
        <f t="shared" ca="1" si="4"/>
        <v>434145.53336220904</v>
      </c>
      <c r="AH31" s="171"/>
      <c r="AI31" s="529"/>
    </row>
    <row r="32" spans="1:36" ht="6" customHeight="1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I32" s="529"/>
    </row>
    <row r="33" spans="1:35" s="4" customFormat="1" ht="18" customHeight="1">
      <c r="A33" s="242" t="s">
        <v>98</v>
      </c>
      <c r="B33" s="161">
        <f t="shared" ref="B33:AG33" si="5">+B26+B31</f>
        <v>0</v>
      </c>
      <c r="C33" s="161">
        <f t="shared" ca="1" si="5"/>
        <v>28209.47555555556</v>
      </c>
      <c r="D33" s="161">
        <f t="shared" ca="1" si="5"/>
        <v>48047.731162222226</v>
      </c>
      <c r="E33" s="161">
        <f t="shared" ca="1" si="5"/>
        <v>68138.237114202217</v>
      </c>
      <c r="F33" s="161">
        <f t="shared" ca="1" si="5"/>
        <v>85058.61256134462</v>
      </c>
      <c r="G33" s="161">
        <f t="shared" ca="1" si="5"/>
        <v>105608.30349710969</v>
      </c>
      <c r="H33" s="161">
        <f t="shared" ca="1" si="5"/>
        <v>126422.33917878279</v>
      </c>
      <c r="I33" s="161">
        <f t="shared" ca="1" si="5"/>
        <v>120067.71580593129</v>
      </c>
      <c r="J33" s="161">
        <f t="shared" ca="1" si="5"/>
        <v>141423.99895709325</v>
      </c>
      <c r="K33" s="161">
        <f t="shared" ca="1" si="5"/>
        <v>163058.33892182494</v>
      </c>
      <c r="L33" s="161">
        <f t="shared" ca="1" si="5"/>
        <v>184975.46266595711</v>
      </c>
      <c r="M33" s="161">
        <f t="shared" ca="1" si="5"/>
        <v>207180.1775137395</v>
      </c>
      <c r="N33" s="161">
        <f t="shared" ca="1" si="5"/>
        <v>184126.15961093133</v>
      </c>
      <c r="O33" s="161">
        <f t="shared" ca="1" si="5"/>
        <v>206920.80692612933</v>
      </c>
      <c r="P33" s="161">
        <f t="shared" ca="1" si="5"/>
        <v>230017.96324568568</v>
      </c>
      <c r="Q33" s="161">
        <f t="shared" ca="1" si="5"/>
        <v>253422.77122267452</v>
      </c>
      <c r="R33" s="161">
        <f t="shared" ca="1" si="5"/>
        <v>277140.46093527216</v>
      </c>
      <c r="S33" s="161">
        <f t="shared" ca="1" si="5"/>
        <v>241152.13596895512</v>
      </c>
      <c r="T33" s="161">
        <f t="shared" ca="1" si="5"/>
        <v>265511.63654410804</v>
      </c>
      <c r="U33" s="161">
        <f t="shared" ca="1" si="5"/>
        <v>290200.24862903851</v>
      </c>
      <c r="V33" s="161">
        <f t="shared" ca="1" si="5"/>
        <v>315223.56711941276</v>
      </c>
      <c r="W33" s="161">
        <f t="shared" ca="1" si="5"/>
        <v>344736.20797428989</v>
      </c>
      <c r="X33" s="161">
        <f t="shared" ca="1" si="5"/>
        <v>298235.75368243636</v>
      </c>
      <c r="Y33" s="161">
        <f t="shared" ca="1" si="5"/>
        <v>324369.45078826707</v>
      </c>
      <c r="Z33" s="161">
        <f t="shared" ca="1" si="5"/>
        <v>350862.42074489692</v>
      </c>
      <c r="AA33" s="161">
        <f t="shared" ca="1" si="5"/>
        <v>377720.77119078941</v>
      </c>
      <c r="AB33" s="161">
        <f t="shared" ca="1" si="5"/>
        <v>404950.71359426214</v>
      </c>
      <c r="AC33" s="161">
        <f t="shared" ca="1" si="5"/>
        <v>349269.22174149641</v>
      </c>
      <c r="AD33" s="161">
        <f t="shared" ca="1" si="5"/>
        <v>377261.40664004179</v>
      </c>
      <c r="AE33" s="161">
        <f t="shared" ca="1" si="5"/>
        <v>405644.45868186245</v>
      </c>
      <c r="AF33" s="161">
        <f t="shared" ca="1" si="5"/>
        <v>434425.02260839404</v>
      </c>
      <c r="AG33" s="162">
        <f t="shared" ca="1" si="5"/>
        <v>463609.85612167668</v>
      </c>
      <c r="AH33" s="171"/>
      <c r="AI33" s="529"/>
    </row>
    <row r="34" spans="1:35" ht="6" customHeight="1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I34" s="529"/>
    </row>
    <row r="35" spans="1:35" ht="18" customHeight="1">
      <c r="A35" s="3" t="s">
        <v>18</v>
      </c>
      <c r="B35" s="21">
        <v>0</v>
      </c>
      <c r="C35" s="23">
        <f>B35+Ipotesi!C22</f>
        <v>50000</v>
      </c>
      <c r="D35" s="23">
        <f>C35+Ipotesi!D22</f>
        <v>50000</v>
      </c>
      <c r="E35" s="23">
        <f>D35+Ipotesi!E22</f>
        <v>50000</v>
      </c>
      <c r="F35" s="23">
        <f>E35+Ipotesi!F22</f>
        <v>50000</v>
      </c>
      <c r="G35" s="23">
        <f>F35+Ipotesi!G22</f>
        <v>50000</v>
      </c>
      <c r="H35" s="23">
        <f>G35+Ipotesi!H22</f>
        <v>50000</v>
      </c>
      <c r="I35" s="23">
        <f>H35+Ipotesi!I22</f>
        <v>50000</v>
      </c>
      <c r="J35" s="23">
        <f>I35+Ipotesi!J22</f>
        <v>50000</v>
      </c>
      <c r="K35" s="23">
        <f>J35+Ipotesi!K22</f>
        <v>50000</v>
      </c>
      <c r="L35" s="23">
        <f>K35+Ipotesi!L22</f>
        <v>50000</v>
      </c>
      <c r="M35" s="23">
        <f>L35+Ipotesi!M22</f>
        <v>50000</v>
      </c>
      <c r="N35" s="23">
        <f>M35+Ipotesi!N22</f>
        <v>50000</v>
      </c>
      <c r="O35" s="23">
        <f>N35+Ipotesi!O22</f>
        <v>50000</v>
      </c>
      <c r="P35" s="23">
        <f>O35+Ipotesi!P22</f>
        <v>50000</v>
      </c>
      <c r="Q35" s="23">
        <f>P35+Ipotesi!Q22</f>
        <v>50000</v>
      </c>
      <c r="R35" s="23">
        <f>Q35+Ipotesi!R22</f>
        <v>50000</v>
      </c>
      <c r="S35" s="23">
        <f>R35+Ipotesi!S22</f>
        <v>50000</v>
      </c>
      <c r="T35" s="23">
        <f>S35+Ipotesi!T22</f>
        <v>50000</v>
      </c>
      <c r="U35" s="23">
        <f>T35+Ipotesi!U22</f>
        <v>50000</v>
      </c>
      <c r="V35" s="23">
        <f>U35+Ipotesi!V22</f>
        <v>50000</v>
      </c>
      <c r="W35" s="23">
        <f>V35+CF!W17</f>
        <v>50000</v>
      </c>
      <c r="X35" s="23">
        <f>W35+CF!X17</f>
        <v>50000</v>
      </c>
      <c r="Y35" s="23">
        <f>X35+CF!Y17</f>
        <v>50000</v>
      </c>
      <c r="Z35" s="23">
        <f>Y35+CF!Z17</f>
        <v>50000</v>
      </c>
      <c r="AA35" s="23">
        <f>Z35+CF!AA17</f>
        <v>50000</v>
      </c>
      <c r="AB35" s="23">
        <f>AA35+CF!AB17</f>
        <v>50000</v>
      </c>
      <c r="AC35" s="23">
        <f>AB35+CF!AC17</f>
        <v>50000</v>
      </c>
      <c r="AD35" s="23">
        <f>AC35+CF!AD17</f>
        <v>50000</v>
      </c>
      <c r="AE35" s="23">
        <f>AD35+CF!AE17</f>
        <v>50000</v>
      </c>
      <c r="AF35" s="23">
        <f>AE35+CF!AF17</f>
        <v>50000</v>
      </c>
      <c r="AG35" s="23">
        <f>AF35+CF!AG17</f>
        <v>50000</v>
      </c>
      <c r="AI35" s="529"/>
    </row>
    <row r="36" spans="1:35" ht="18" customHeight="1">
      <c r="A36" s="3" t="s">
        <v>37</v>
      </c>
      <c r="B36" s="21">
        <v>0</v>
      </c>
      <c r="C36" s="23">
        <f>B36+Ipotesi!C24</f>
        <v>99185.428543820715</v>
      </c>
      <c r="D36" s="23">
        <f>C36+Ipotesi!D24</f>
        <v>350000.00000000012</v>
      </c>
      <c r="E36" s="23">
        <f>D36+Ipotesi!E24</f>
        <v>350000.00000000012</v>
      </c>
      <c r="F36" s="23">
        <f>E36+Ipotesi!F24</f>
        <v>350000.00000000012</v>
      </c>
      <c r="G36" s="23">
        <f>F36+Ipotesi!G24</f>
        <v>350000.00000000012</v>
      </c>
      <c r="H36" s="23">
        <f>G36+Ipotesi!H24</f>
        <v>350000.00000000012</v>
      </c>
      <c r="I36" s="23">
        <f>H36+Ipotesi!I24</f>
        <v>350000.00000000012</v>
      </c>
      <c r="J36" s="23">
        <f>I36+Ipotesi!J24</f>
        <v>350000.00000000012</v>
      </c>
      <c r="K36" s="23">
        <f>J36+Ipotesi!K24</f>
        <v>350000.00000000012</v>
      </c>
      <c r="L36" s="23">
        <f>K36+Ipotesi!L24</f>
        <v>350000.00000000012</v>
      </c>
      <c r="M36" s="23">
        <f>L36+Ipotesi!M24</f>
        <v>350000.00000000012</v>
      </c>
      <c r="N36" s="23">
        <f>M36+Ipotesi!N24</f>
        <v>350000.00000000012</v>
      </c>
      <c r="O36" s="23">
        <f>N36+Ipotesi!O24</f>
        <v>350000.00000000012</v>
      </c>
      <c r="P36" s="23">
        <f>O36+Ipotesi!P24</f>
        <v>350000.00000000012</v>
      </c>
      <c r="Q36" s="23">
        <f>P36+Ipotesi!Q24</f>
        <v>350000.00000000012</v>
      </c>
      <c r="R36" s="23">
        <f>Q36+Ipotesi!R24</f>
        <v>350000.00000000012</v>
      </c>
      <c r="S36" s="23">
        <f>R36+Ipotesi!S24</f>
        <v>350000.00000000012</v>
      </c>
      <c r="T36" s="23">
        <f>S36+Ipotesi!T24</f>
        <v>350000.00000000012</v>
      </c>
      <c r="U36" s="23">
        <f>T36+Ipotesi!U24</f>
        <v>350000.00000000012</v>
      </c>
      <c r="V36" s="23">
        <f>U36+Ipotesi!V24</f>
        <v>350000.00000000012</v>
      </c>
      <c r="W36" s="23">
        <f>V36+CF!W18</f>
        <v>350000.00000000012</v>
      </c>
      <c r="X36" s="23">
        <f>W36+CF!X18</f>
        <v>350000.00000000012</v>
      </c>
      <c r="Y36" s="23">
        <f>X36+CF!Y18</f>
        <v>350000.00000000012</v>
      </c>
      <c r="Z36" s="23">
        <f>Y36+CF!Z18</f>
        <v>350000.00000000012</v>
      </c>
      <c r="AA36" s="23">
        <f>Z36+CF!AA18</f>
        <v>350000.00000000012</v>
      </c>
      <c r="AB36" s="23">
        <f>AA36+CF!AB18</f>
        <v>350000.00000000012</v>
      </c>
      <c r="AC36" s="23">
        <f>AB36+CF!AC18</f>
        <v>350000.00000000012</v>
      </c>
      <c r="AD36" s="23">
        <f>AC36+CF!AD18</f>
        <v>350000.00000000012</v>
      </c>
      <c r="AE36" s="23">
        <f>AD36+CF!AE18</f>
        <v>350000.00000000012</v>
      </c>
      <c r="AF36" s="23">
        <f>AE36+CF!AF18</f>
        <v>350000.00000000012</v>
      </c>
      <c r="AG36" s="23">
        <f>AF36+CF!AG18</f>
        <v>350000.00000000012</v>
      </c>
      <c r="AI36" s="529"/>
    </row>
    <row r="37" spans="1:35" ht="18" customHeight="1">
      <c r="A37" s="3" t="s">
        <v>40</v>
      </c>
      <c r="B37" s="24">
        <v>0</v>
      </c>
      <c r="C37" s="21">
        <f t="shared" ref="C37:AG37" si="6">B38+B37</f>
        <v>0</v>
      </c>
      <c r="D37" s="21">
        <f t="shared" ca="1" si="6"/>
        <v>47802.753048617393</v>
      </c>
      <c r="E37" s="21">
        <f t="shared" ca="1" si="6"/>
        <v>69935.270208336879</v>
      </c>
      <c r="F37" s="21">
        <f t="shared" ca="1" si="6"/>
        <v>94221.672256382502</v>
      </c>
      <c r="G37" s="21">
        <f t="shared" ca="1" si="6"/>
        <v>120681.34767540275</v>
      </c>
      <c r="H37" s="21">
        <f t="shared" ca="1" si="6"/>
        <v>149381.98412979656</v>
      </c>
      <c r="I37" s="21">
        <f t="shared" ca="1" si="6"/>
        <v>198431.57307351581</v>
      </c>
      <c r="J37" s="21">
        <f t="shared" ca="1" si="6"/>
        <v>249595.07319400157</v>
      </c>
      <c r="K37" s="21">
        <f t="shared" ca="1" si="6"/>
        <v>302940.48485937167</v>
      </c>
      <c r="L37" s="21">
        <f t="shared" ca="1" si="6"/>
        <v>358845.65899565746</v>
      </c>
      <c r="M37" s="21">
        <f t="shared" ca="1" si="6"/>
        <v>417389.30942965543</v>
      </c>
      <c r="N37" s="21">
        <f t="shared" ca="1" si="6"/>
        <v>478652.27828662982</v>
      </c>
      <c r="O37" s="21">
        <f t="shared" ca="1" si="6"/>
        <v>542206.29608523496</v>
      </c>
      <c r="P37" s="21">
        <f t="shared" ca="1" si="6"/>
        <v>608125.14649116492</v>
      </c>
      <c r="Q37" s="21">
        <f t="shared" ca="1" si="6"/>
        <v>676995.94335321628</v>
      </c>
      <c r="R37" s="21">
        <f t="shared" ca="1" si="6"/>
        <v>748908.07335825393</v>
      </c>
      <c r="S37" s="21">
        <f t="shared" ca="1" si="6"/>
        <v>823953.32285566092</v>
      </c>
      <c r="T37" s="21">
        <f t="shared" ca="1" si="6"/>
        <v>901552.19102190027</v>
      </c>
      <c r="U37" s="21">
        <f t="shared" ca="1" si="6"/>
        <v>981786.32157854328</v>
      </c>
      <c r="V37" s="21">
        <f t="shared" ca="1" si="6"/>
        <v>1065413.3518592701</v>
      </c>
      <c r="W37" s="21">
        <f t="shared" ca="1" si="6"/>
        <v>1152534.6005698489</v>
      </c>
      <c r="X37" s="21">
        <f t="shared" ca="1" si="6"/>
        <v>1243300.6585083897</v>
      </c>
      <c r="Y37" s="21">
        <f t="shared" ca="1" si="6"/>
        <v>1337008.8301278814</v>
      </c>
      <c r="Z37" s="21">
        <f t="shared" ca="1" si="6"/>
        <v>1433705.8541217777</v>
      </c>
      <c r="AA37" s="21">
        <f t="shared" ca="1" si="6"/>
        <v>1534297.0836793839</v>
      </c>
      <c r="AB37" s="21">
        <f t="shared" ca="1" si="6"/>
        <v>1638897.3307783031</v>
      </c>
      <c r="AC37" s="21">
        <f t="shared" ca="1" si="6"/>
        <v>1747624.4504655318</v>
      </c>
      <c r="AD37" s="21">
        <f t="shared" ca="1" si="6"/>
        <v>1859664.5281096345</v>
      </c>
      <c r="AE37" s="21">
        <f t="shared" ca="1" si="6"/>
        <v>1975120.7479363661</v>
      </c>
      <c r="AF37" s="21">
        <f t="shared" ca="1" si="6"/>
        <v>2095033.9893386671</v>
      </c>
      <c r="AG37" s="21">
        <f t="shared" ca="1" si="6"/>
        <v>2219534.107740168</v>
      </c>
      <c r="AI37" s="529"/>
    </row>
    <row r="38" spans="1:35" ht="18" customHeight="1">
      <c r="A38" s="3" t="s">
        <v>39</v>
      </c>
      <c r="B38" s="21">
        <v>0</v>
      </c>
      <c r="C38" s="21">
        <f ca="1">CE!E29</f>
        <v>47802.753048617393</v>
      </c>
      <c r="D38" s="21">
        <f ca="1">CE!F29</f>
        <v>22132.517159719482</v>
      </c>
      <c r="E38" s="21">
        <f ca="1">CE!G29</f>
        <v>24286.402048045624</v>
      </c>
      <c r="F38" s="21">
        <f ca="1">CE!H29</f>
        <v>26459.675419020248</v>
      </c>
      <c r="G38" s="21">
        <f ca="1">CE!I29</f>
        <v>28700.636454393811</v>
      </c>
      <c r="H38" s="21">
        <f ca="1">CE!J29</f>
        <v>49049.588943719253</v>
      </c>
      <c r="I38" s="21">
        <f ca="1">CE!K29</f>
        <v>51163.500120485754</v>
      </c>
      <c r="J38" s="21">
        <f ca="1">CE!L29</f>
        <v>53345.41166537012</v>
      </c>
      <c r="K38" s="21">
        <f ca="1">CE!M29</f>
        <v>55905.174136285757</v>
      </c>
      <c r="L38" s="21">
        <f ca="1">CE!N29</f>
        <v>58543.650433997973</v>
      </c>
      <c r="M38" s="21">
        <f ca="1">CE!O29</f>
        <v>61262.968856974359</v>
      </c>
      <c r="N38" s="21">
        <f ca="1">CE!P29</f>
        <v>63554.01779860512</v>
      </c>
      <c r="O38" s="21">
        <f ca="1">CE!Q29</f>
        <v>65918.850405929959</v>
      </c>
      <c r="P38" s="21">
        <f ca="1">CE!R29</f>
        <v>68870.796862051327</v>
      </c>
      <c r="Q38" s="21">
        <f ca="1">CE!S29</f>
        <v>71912.130005037616</v>
      </c>
      <c r="R38" s="21">
        <f ca="1">CE!T29</f>
        <v>75045.249497407</v>
      </c>
      <c r="S38" s="21">
        <f ca="1">CE!U29</f>
        <v>77598.868166239379</v>
      </c>
      <c r="T38" s="21">
        <f ca="1">CE!V29</f>
        <v>80234.130556643038</v>
      </c>
      <c r="U38" s="21">
        <f ca="1">CE!W29</f>
        <v>83627.030280726787</v>
      </c>
      <c r="V38" s="21">
        <f ca="1">CE!X29</f>
        <v>87121.248710578657</v>
      </c>
      <c r="W38" s="21">
        <f ca="1">CE!Y29</f>
        <v>90766.057938540936</v>
      </c>
      <c r="X38" s="21">
        <f ca="1">CE!Z29</f>
        <v>93708.171619491564</v>
      </c>
      <c r="Y38" s="21">
        <f ca="1">CE!AA29</f>
        <v>96697.023993896248</v>
      </c>
      <c r="Z38" s="21">
        <f ca="1">CE!AB29</f>
        <v>100591.22955760614</v>
      </c>
      <c r="AA38" s="21">
        <f ca="1">CE!AC29</f>
        <v>104600.2470989193</v>
      </c>
      <c r="AB38" s="21">
        <f ca="1">CE!AD29</f>
        <v>108727.1196872287</v>
      </c>
      <c r="AC38" s="21">
        <f ca="1">CE!AE29</f>
        <v>112040.07764410276</v>
      </c>
      <c r="AD38" s="21">
        <f ca="1">CE!AF29</f>
        <v>115456.21982673169</v>
      </c>
      <c r="AE38" s="21">
        <f ca="1">CE!AG29</f>
        <v>119913.24140230104</v>
      </c>
      <c r="AF38" s="21">
        <f ca="1">CE!AH29</f>
        <v>124500.11840150095</v>
      </c>
      <c r="AG38" s="21">
        <f ca="1">CE!AI29</f>
        <v>129220.27255448169</v>
      </c>
      <c r="AI38" s="529"/>
    </row>
    <row r="39" spans="1:35" s="4" customFormat="1" ht="18" customHeight="1">
      <c r="A39" s="242" t="s">
        <v>97</v>
      </c>
      <c r="B39" s="161">
        <f t="shared" ref="B39:AG39" si="7">SUM(B35:B38)</f>
        <v>0</v>
      </c>
      <c r="C39" s="161">
        <f t="shared" ca="1" si="7"/>
        <v>196988.18159243811</v>
      </c>
      <c r="D39" s="161">
        <f t="shared" ca="1" si="7"/>
        <v>469935.27020833699</v>
      </c>
      <c r="E39" s="161">
        <f t="shared" ca="1" si="7"/>
        <v>494221.67225638265</v>
      </c>
      <c r="F39" s="161">
        <f t="shared" ca="1" si="7"/>
        <v>520681.34767540288</v>
      </c>
      <c r="G39" s="161">
        <f t="shared" ca="1" si="7"/>
        <v>549381.98412979674</v>
      </c>
      <c r="H39" s="161">
        <f t="shared" ca="1" si="7"/>
        <v>598431.57307351602</v>
      </c>
      <c r="I39" s="161">
        <f t="shared" ca="1" si="7"/>
        <v>649595.07319400168</v>
      </c>
      <c r="J39" s="161">
        <f t="shared" ca="1" si="7"/>
        <v>702940.48485937179</v>
      </c>
      <c r="K39" s="161">
        <f t="shared" ca="1" si="7"/>
        <v>758845.65899565758</v>
      </c>
      <c r="L39" s="161">
        <f t="shared" ca="1" si="7"/>
        <v>817389.30942965555</v>
      </c>
      <c r="M39" s="161">
        <f t="shared" ca="1" si="7"/>
        <v>878652.27828662994</v>
      </c>
      <c r="N39" s="161">
        <f t="shared" ca="1" si="7"/>
        <v>942206.29608523508</v>
      </c>
      <c r="O39" s="161">
        <f t="shared" ca="1" si="7"/>
        <v>1008125.146491165</v>
      </c>
      <c r="P39" s="161">
        <f t="shared" ca="1" si="7"/>
        <v>1076995.9433532164</v>
      </c>
      <c r="Q39" s="161">
        <f t="shared" ca="1" si="7"/>
        <v>1148908.073358254</v>
      </c>
      <c r="R39" s="161">
        <f t="shared" ca="1" si="7"/>
        <v>1223953.3228556612</v>
      </c>
      <c r="S39" s="161">
        <f t="shared" ca="1" si="7"/>
        <v>1301552.1910219006</v>
      </c>
      <c r="T39" s="161">
        <f t="shared" ca="1" si="7"/>
        <v>1381786.3215785434</v>
      </c>
      <c r="U39" s="161">
        <f t="shared" ca="1" si="7"/>
        <v>1465413.3518592701</v>
      </c>
      <c r="V39" s="161">
        <f t="shared" ca="1" si="7"/>
        <v>1552534.6005698489</v>
      </c>
      <c r="W39" s="161">
        <f t="shared" ca="1" si="7"/>
        <v>1643300.6585083897</v>
      </c>
      <c r="X39" s="161">
        <f t="shared" ca="1" si="7"/>
        <v>1737008.8301278814</v>
      </c>
      <c r="Y39" s="161">
        <f t="shared" ca="1" si="7"/>
        <v>1833705.8541217777</v>
      </c>
      <c r="Z39" s="161">
        <f t="shared" ca="1" si="7"/>
        <v>1934297.0836793839</v>
      </c>
      <c r="AA39" s="161">
        <f t="shared" ca="1" si="7"/>
        <v>2038897.3307783033</v>
      </c>
      <c r="AB39" s="161">
        <f t="shared" ca="1" si="7"/>
        <v>2147624.450465532</v>
      </c>
      <c r="AC39" s="161">
        <f t="shared" ca="1" si="7"/>
        <v>2259664.5281096348</v>
      </c>
      <c r="AD39" s="161">
        <f t="shared" ca="1" si="7"/>
        <v>2375120.7479363666</v>
      </c>
      <c r="AE39" s="161">
        <f t="shared" ca="1" si="7"/>
        <v>2495033.9893386671</v>
      </c>
      <c r="AF39" s="161">
        <f t="shared" ca="1" si="7"/>
        <v>2619534.107740168</v>
      </c>
      <c r="AG39" s="162">
        <f t="shared" ca="1" si="7"/>
        <v>2748754.3802946499</v>
      </c>
      <c r="AH39" s="171"/>
      <c r="AI39" s="529"/>
    </row>
    <row r="40" spans="1:35" ht="6" customHeight="1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I40" s="529"/>
    </row>
    <row r="41" spans="1:35" s="4" customFormat="1" ht="18" customHeight="1">
      <c r="A41" s="242" t="s">
        <v>19</v>
      </c>
      <c r="B41" s="161">
        <f t="shared" ref="B41:AG41" si="8">B33+B39</f>
        <v>0</v>
      </c>
      <c r="C41" s="161">
        <f t="shared" ca="1" si="8"/>
        <v>225197.65714799368</v>
      </c>
      <c r="D41" s="161">
        <f t="shared" ca="1" si="8"/>
        <v>517983.00137055921</v>
      </c>
      <c r="E41" s="161">
        <f t="shared" ca="1" si="8"/>
        <v>562359.90937058488</v>
      </c>
      <c r="F41" s="161">
        <f t="shared" ca="1" si="8"/>
        <v>605739.96023674752</v>
      </c>
      <c r="G41" s="161">
        <f t="shared" ca="1" si="8"/>
        <v>654990.28762690641</v>
      </c>
      <c r="H41" s="161">
        <f t="shared" ca="1" si="8"/>
        <v>724853.91225229879</v>
      </c>
      <c r="I41" s="161">
        <f t="shared" ca="1" si="8"/>
        <v>769662.78899993293</v>
      </c>
      <c r="J41" s="161">
        <f t="shared" ca="1" si="8"/>
        <v>844364.48381646501</v>
      </c>
      <c r="K41" s="161">
        <f t="shared" ca="1" si="8"/>
        <v>921903.99791748251</v>
      </c>
      <c r="L41" s="161">
        <f t="shared" ca="1" si="8"/>
        <v>1002364.7720956127</v>
      </c>
      <c r="M41" s="161">
        <f t="shared" ca="1" si="8"/>
        <v>1085832.4558003694</v>
      </c>
      <c r="N41" s="161">
        <f t="shared" ca="1" si="8"/>
        <v>1126332.4556961665</v>
      </c>
      <c r="O41" s="161">
        <f t="shared" ca="1" si="8"/>
        <v>1215045.9534172944</v>
      </c>
      <c r="P41" s="161">
        <f t="shared" ca="1" si="8"/>
        <v>1307013.9065989021</v>
      </c>
      <c r="Q41" s="161">
        <f t="shared" ca="1" si="8"/>
        <v>1402330.8445809286</v>
      </c>
      <c r="R41" s="161">
        <f t="shared" ca="1" si="8"/>
        <v>1501093.7837909334</v>
      </c>
      <c r="S41" s="161">
        <f t="shared" ca="1" si="8"/>
        <v>1542704.3269908559</v>
      </c>
      <c r="T41" s="161">
        <f t="shared" ca="1" si="8"/>
        <v>1647297.9581226516</v>
      </c>
      <c r="U41" s="161">
        <f t="shared" ca="1" si="8"/>
        <v>1755613.6004883086</v>
      </c>
      <c r="V41" s="161">
        <f t="shared" ca="1" si="8"/>
        <v>1867758.1676892617</v>
      </c>
      <c r="W41" s="161">
        <f t="shared" ca="1" si="8"/>
        <v>1988036.8664826797</v>
      </c>
      <c r="X41" s="161">
        <f t="shared" ca="1" si="8"/>
        <v>2035244.5838103178</v>
      </c>
      <c r="Y41" s="161">
        <f t="shared" ca="1" si="8"/>
        <v>2158075.3049100447</v>
      </c>
      <c r="Z41" s="161">
        <f t="shared" ca="1" si="8"/>
        <v>2285159.504424281</v>
      </c>
      <c r="AA41" s="161">
        <f t="shared" ca="1" si="8"/>
        <v>2416618.1019690926</v>
      </c>
      <c r="AB41" s="161">
        <f t="shared" ca="1" si="8"/>
        <v>2552575.164059794</v>
      </c>
      <c r="AC41" s="161">
        <f t="shared" ca="1" si="8"/>
        <v>2608933.7498511313</v>
      </c>
      <c r="AD41" s="161">
        <f t="shared" ca="1" si="8"/>
        <v>2752382.1545764082</v>
      </c>
      <c r="AE41" s="161">
        <f t="shared" ca="1" si="8"/>
        <v>2900678.4480205295</v>
      </c>
      <c r="AF41" s="161">
        <f t="shared" ca="1" si="8"/>
        <v>3053959.1303485623</v>
      </c>
      <c r="AG41" s="162">
        <f t="shared" ca="1" si="8"/>
        <v>3212364.2364163264</v>
      </c>
      <c r="AH41" s="171"/>
      <c r="AI41" s="529"/>
    </row>
    <row r="42" spans="1:35" ht="17.25" customHeight="1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5" ht="18" customHeight="1">
      <c r="A43" s="3" t="s">
        <v>118</v>
      </c>
      <c r="B43" s="33">
        <f t="shared" ref="B43:AG43" si="9">B41-B18</f>
        <v>0</v>
      </c>
      <c r="C43" s="33">
        <f t="shared" ca="1" si="9"/>
        <v>0</v>
      </c>
      <c r="D43" s="33">
        <f t="shared" ca="1" si="9"/>
        <v>0</v>
      </c>
      <c r="E43" s="33">
        <f t="shared" ca="1" si="9"/>
        <v>0</v>
      </c>
      <c r="F43" s="33">
        <f t="shared" ca="1" si="9"/>
        <v>0</v>
      </c>
      <c r="G43" s="33">
        <f t="shared" ca="1" si="9"/>
        <v>0</v>
      </c>
      <c r="H43" s="33">
        <f t="shared" ca="1" si="9"/>
        <v>0</v>
      </c>
      <c r="I43" s="33">
        <f t="shared" ca="1" si="9"/>
        <v>0</v>
      </c>
      <c r="J43" s="33">
        <f t="shared" ca="1" si="9"/>
        <v>0</v>
      </c>
      <c r="K43" s="33">
        <f t="shared" ca="1" si="9"/>
        <v>0</v>
      </c>
      <c r="L43" s="33">
        <f t="shared" ca="1" si="9"/>
        <v>0</v>
      </c>
      <c r="M43" s="33">
        <f t="shared" ca="1" si="9"/>
        <v>0</v>
      </c>
      <c r="N43" s="33">
        <f t="shared" ca="1" si="9"/>
        <v>0</v>
      </c>
      <c r="O43" s="33">
        <f t="shared" ca="1" si="9"/>
        <v>0</v>
      </c>
      <c r="P43" s="33">
        <f t="shared" ca="1" si="9"/>
        <v>0</v>
      </c>
      <c r="Q43" s="33">
        <f t="shared" ca="1" si="9"/>
        <v>0</v>
      </c>
      <c r="R43" s="33">
        <f t="shared" ca="1" si="9"/>
        <v>0</v>
      </c>
      <c r="S43" s="33">
        <f t="shared" ca="1" si="9"/>
        <v>0</v>
      </c>
      <c r="T43" s="33">
        <f t="shared" ca="1" si="9"/>
        <v>0</v>
      </c>
      <c r="U43" s="33">
        <f t="shared" ca="1" si="9"/>
        <v>0</v>
      </c>
      <c r="V43" s="33">
        <f t="shared" ca="1" si="9"/>
        <v>0</v>
      </c>
      <c r="W43" s="33">
        <f t="shared" ca="1" si="9"/>
        <v>0</v>
      </c>
      <c r="X43" s="33">
        <f t="shared" ca="1" si="9"/>
        <v>0</v>
      </c>
      <c r="Y43" s="33">
        <f t="shared" ca="1" si="9"/>
        <v>0</v>
      </c>
      <c r="Z43" s="33">
        <f t="shared" ca="1" si="9"/>
        <v>0</v>
      </c>
      <c r="AA43" s="33">
        <f t="shared" ca="1" si="9"/>
        <v>0</v>
      </c>
      <c r="AB43" s="33">
        <f t="shared" ca="1" si="9"/>
        <v>0</v>
      </c>
      <c r="AC43" s="33">
        <f t="shared" ca="1" si="9"/>
        <v>0</v>
      </c>
      <c r="AD43" s="33">
        <f t="shared" ca="1" si="9"/>
        <v>0</v>
      </c>
      <c r="AE43" s="33">
        <f t="shared" ca="1" si="9"/>
        <v>0</v>
      </c>
      <c r="AF43" s="33">
        <f t="shared" ca="1" si="9"/>
        <v>0</v>
      </c>
      <c r="AG43" s="33">
        <f t="shared" ca="1" si="9"/>
        <v>0</v>
      </c>
      <c r="AH43" s="21"/>
    </row>
    <row r="44" spans="1:35">
      <c r="C44" s="20"/>
      <c r="I44" s="33"/>
      <c r="J44" s="33"/>
      <c r="K44" s="33"/>
      <c r="L44" s="33"/>
      <c r="M44" s="33"/>
      <c r="N44" s="33"/>
      <c r="O44" s="21"/>
      <c r="P44" s="21"/>
      <c r="Q44" s="33"/>
      <c r="R44" s="33"/>
      <c r="S44" s="33"/>
      <c r="T44" s="33"/>
      <c r="U44" s="33"/>
      <c r="V44" s="33"/>
    </row>
    <row r="45" spans="1:35" ht="18" customHeight="1">
      <c r="C45" s="20"/>
      <c r="H45" s="21"/>
    </row>
    <row r="46" spans="1:35" ht="18" customHeight="1">
      <c r="C46" s="25"/>
      <c r="D46" s="21"/>
      <c r="G46" s="21"/>
    </row>
    <row r="47" spans="1:35" ht="18" customHeight="1">
      <c r="C47" s="20"/>
      <c r="D47" s="26"/>
      <c r="E47" s="27"/>
      <c r="F47" s="26"/>
      <c r="G47" s="26"/>
      <c r="H47" s="26"/>
      <c r="I47" s="26"/>
      <c r="J47" s="26"/>
    </row>
    <row r="48" spans="1:35" ht="18" customHeight="1">
      <c r="C48" s="28"/>
    </row>
    <row r="49" spans="3:6" ht="18" customHeight="1">
      <c r="C49" s="20"/>
    </row>
    <row r="50" spans="3:6" ht="18" customHeight="1">
      <c r="C50" s="28"/>
      <c r="D50" s="21"/>
      <c r="E50" s="21"/>
      <c r="F50" s="21"/>
    </row>
    <row r="51" spans="3:6" ht="18" customHeight="1">
      <c r="C51" s="28"/>
      <c r="D51" s="21"/>
      <c r="E51" s="21"/>
      <c r="F51" s="21"/>
    </row>
    <row r="52" spans="3:6" ht="18" customHeight="1">
      <c r="C52" s="28"/>
    </row>
  </sheetData>
  <mergeCells count="1">
    <mergeCell ref="AI1:AI41"/>
  </mergeCells>
  <phoneticPr fontId="4" type="noConversion"/>
  <conditionalFormatting sqref="B43:AG43 I44:N44 Q44:V44">
    <cfRule type="cellIs" dxfId="0" priority="1" stopIfTrue="1" operator="notEqual">
      <formula>0</formula>
    </cfRule>
  </conditionalFormatting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83" orientation="landscape" horizontalDpi="1200" verticalDpi="12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BADDA-CD28-284F-BD94-39D2042A9B86}">
  <sheetPr codeName="Foglio12">
    <pageSetUpPr fitToPage="1"/>
  </sheetPr>
  <dimension ref="A1:DU50"/>
  <sheetViews>
    <sheetView showGridLines="0" zoomScale="85" zoomScaleNormal="85" workbookViewId="0">
      <pane xSplit="1" ySplit="4" topLeftCell="C5" activePane="bottomRight" state="frozen"/>
      <selection activeCell="D25" sqref="A1:IV65536"/>
      <selection pane="topRight" activeCell="D25" sqref="A1:IV65536"/>
      <selection pane="bottomLeft" activeCell="D25" sqref="A1:IV65536"/>
      <selection pane="bottomRight" activeCell="G31" sqref="G31"/>
    </sheetView>
  </sheetViews>
  <sheetFormatPr defaultColWidth="10.28515625" defaultRowHeight="15" customHeight="1" outlineLevelRow="2" outlineLevelCol="1"/>
  <cols>
    <col min="1" max="1" width="52.42578125" style="3" bestFit="1" customWidth="1"/>
    <col min="2" max="2" width="8.42578125" style="3" hidden="1" customWidth="1" outlineLevel="1"/>
    <col min="3" max="3" width="10.7109375" style="3" customWidth="1" collapsed="1"/>
    <col min="4" max="22" width="10.7109375" style="3" customWidth="1"/>
    <col min="23" max="33" width="10.140625" style="3" customWidth="1" outlineLevel="1"/>
    <col min="34" max="34" width="1.7109375" style="3" customWidth="1"/>
    <col min="35" max="35" width="4.7109375" style="3" customWidth="1"/>
    <col min="36" max="16384" width="10.28515625" style="3"/>
  </cols>
  <sheetData>
    <row r="1" spans="1:125" ht="18" customHeight="1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I1" s="529">
        <f>IF(Ipotesi!$C$12=10%,"Cash Flow - ipotesi ''BASE''",IF(Ipotesi!$C$12=4%,"Cash Flow - ipotesi ''PESSIMISTICA''",IF(Ipotesi!$C$12=13%,"Cash Flow - ipotesi ''OTTIMISTICA''",0)))</f>
        <v>0</v>
      </c>
    </row>
    <row r="2" spans="1:125" ht="3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I2" s="529"/>
    </row>
    <row r="3" spans="1:125" s="4" customFormat="1" ht="18" customHeight="1">
      <c r="A3" s="127" t="s">
        <v>936</v>
      </c>
      <c r="B3" s="276" t="s">
        <v>178</v>
      </c>
      <c r="C3" s="276" t="s">
        <v>144</v>
      </c>
      <c r="D3" s="276" t="s">
        <v>145</v>
      </c>
      <c r="E3" s="276" t="s">
        <v>146</v>
      </c>
      <c r="F3" s="276" t="s">
        <v>147</v>
      </c>
      <c r="G3" s="276" t="s">
        <v>148</v>
      </c>
      <c r="H3" s="276" t="s">
        <v>149</v>
      </c>
      <c r="I3" s="276" t="s">
        <v>150</v>
      </c>
      <c r="J3" s="276" t="s">
        <v>151</v>
      </c>
      <c r="K3" s="276" t="s">
        <v>152</v>
      </c>
      <c r="L3" s="276" t="s">
        <v>153</v>
      </c>
      <c r="M3" s="276" t="s">
        <v>154</v>
      </c>
      <c r="N3" s="276" t="s">
        <v>155</v>
      </c>
      <c r="O3" s="276" t="s">
        <v>156</v>
      </c>
      <c r="P3" s="276" t="s">
        <v>157</v>
      </c>
      <c r="Q3" s="276" t="s">
        <v>158</v>
      </c>
      <c r="R3" s="276" t="s">
        <v>159</v>
      </c>
      <c r="S3" s="276" t="s">
        <v>160</v>
      </c>
      <c r="T3" s="276" t="s">
        <v>161</v>
      </c>
      <c r="U3" s="276" t="s">
        <v>162</v>
      </c>
      <c r="V3" s="276" t="s">
        <v>163</v>
      </c>
      <c r="W3" s="276" t="s">
        <v>164</v>
      </c>
      <c r="X3" s="276" t="s">
        <v>165</v>
      </c>
      <c r="Y3" s="276" t="s">
        <v>166</v>
      </c>
      <c r="Z3" s="276" t="s">
        <v>167</v>
      </c>
      <c r="AA3" s="276" t="s">
        <v>168</v>
      </c>
      <c r="AB3" s="276" t="s">
        <v>169</v>
      </c>
      <c r="AC3" s="276" t="s">
        <v>170</v>
      </c>
      <c r="AD3" s="276" t="s">
        <v>171</v>
      </c>
      <c r="AE3" s="276" t="s">
        <v>172</v>
      </c>
      <c r="AF3" s="276" t="s">
        <v>173</v>
      </c>
      <c r="AG3" s="276" t="s">
        <v>174</v>
      </c>
      <c r="AH3" s="2"/>
      <c r="AI3" s="529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</row>
    <row r="4" spans="1:125" ht="6" customHeight="1">
      <c r="AI4" s="529"/>
    </row>
    <row r="5" spans="1:125" ht="18" customHeight="1" outlineLevel="1">
      <c r="A5" s="3" t="s">
        <v>80</v>
      </c>
      <c r="B5" s="21">
        <f>CE!D18</f>
        <v>0</v>
      </c>
      <c r="C5" s="21">
        <f>CE!E18</f>
        <v>82881.285499999969</v>
      </c>
      <c r="D5" s="21">
        <f>CE!F18</f>
        <v>-441619.46529299999</v>
      </c>
      <c r="E5" s="21">
        <f>CE!G18</f>
        <v>-449126.99620298098</v>
      </c>
      <c r="F5" s="21">
        <f>CE!H18</f>
        <v>-456762.15513843158</v>
      </c>
      <c r="G5" s="21">
        <f>CE!I18</f>
        <v>-464527.11177578481</v>
      </c>
      <c r="H5" s="21">
        <f>CE!J18</f>
        <v>-472424.07267597306</v>
      </c>
      <c r="I5" s="21">
        <f>CE!K18</f>
        <v>-480455.28191146464</v>
      </c>
      <c r="J5" s="21">
        <f>CE!L18</f>
        <v>-488623.02170395933</v>
      </c>
      <c r="K5" s="21">
        <f>CE!M18</f>
        <v>-496929.61307292664</v>
      </c>
      <c r="L5" s="21">
        <f>CE!N18</f>
        <v>-505377.41649516637</v>
      </c>
      <c r="M5" s="21">
        <f>CE!O18</f>
        <v>-513968.83257558418</v>
      </c>
      <c r="N5" s="21">
        <f>CE!P18</f>
        <v>-522706.30272936914</v>
      </c>
      <c r="O5" s="21">
        <f>CE!Q18</f>
        <v>-531592.30987576838</v>
      </c>
      <c r="P5" s="21">
        <f>CE!R18</f>
        <v>-540629.37914365635</v>
      </c>
      <c r="Q5" s="21">
        <f>CE!S18</f>
        <v>-549820.07858909841</v>
      </c>
      <c r="R5" s="21">
        <f>CE!T18</f>
        <v>-559167.01992511307</v>
      </c>
      <c r="S5" s="21">
        <f>CE!U18</f>
        <v>-568672.85926384002</v>
      </c>
      <c r="T5" s="21">
        <f>CE!V18</f>
        <v>-578340.29787132517</v>
      </c>
      <c r="U5" s="21">
        <f>CE!W18</f>
        <v>-588172.08293513767</v>
      </c>
      <c r="V5" s="21">
        <f>CE!X18</f>
        <v>-598171.0083450349</v>
      </c>
      <c r="W5" s="21">
        <f>CE!Y18</f>
        <v>-608339.91548690037</v>
      </c>
      <c r="X5" s="21">
        <f>CE!Z18</f>
        <v>-618681.6940501777</v>
      </c>
      <c r="Y5" s="21">
        <f>CE!AA18</f>
        <v>-629199.28284903069</v>
      </c>
      <c r="Z5" s="21">
        <f>CE!AB18</f>
        <v>-639895.67065746407</v>
      </c>
      <c r="AA5" s="21">
        <f>CE!AC18</f>
        <v>-650773.89705864096</v>
      </c>
      <c r="AB5" s="21">
        <f>CE!AD18</f>
        <v>-661837.05330863781</v>
      </c>
      <c r="AC5" s="21">
        <f>CE!AE18</f>
        <v>-673088.28321488458</v>
      </c>
      <c r="AD5" s="21">
        <f>CE!AF18</f>
        <v>-684530.7840295377</v>
      </c>
      <c r="AE5" s="21">
        <f>CE!AG18</f>
        <v>-696167.80735803978</v>
      </c>
      <c r="AF5" s="21">
        <f>CE!AH18</f>
        <v>-708002.66008312639</v>
      </c>
      <c r="AG5" s="21">
        <f>CE!AI18</f>
        <v>-720038.70530453953</v>
      </c>
      <c r="AI5" s="529"/>
    </row>
    <row r="6" spans="1:125" ht="18" customHeight="1" outlineLevel="1">
      <c r="A6" s="3" t="s">
        <v>82</v>
      </c>
      <c r="B6" s="21">
        <f t="shared" ref="B6:V6" si="0">-B30</f>
        <v>0</v>
      </c>
      <c r="C6" s="21">
        <f t="shared" si="0"/>
        <v>17198.686666666668</v>
      </c>
      <c r="D6" s="21">
        <f t="shared" si="0"/>
        <v>1173.7776733333289</v>
      </c>
      <c r="E6" s="21">
        <f t="shared" si="0"/>
        <v>312.33189377999588</v>
      </c>
      <c r="F6" s="21">
        <f t="shared" si="0"/>
        <v>-3109.0275700469992</v>
      </c>
      <c r="G6" s="21">
        <f t="shared" si="0"/>
        <v>264.78806728345626</v>
      </c>
      <c r="H6" s="21">
        <f t="shared" si="0"/>
        <v>269.28946442728011</v>
      </c>
      <c r="I6" s="21">
        <f t="shared" ca="1" si="0"/>
        <v>-27163.630275790478</v>
      </c>
      <c r="J6" s="21">
        <f t="shared" si="0"/>
        <v>278.52313087302537</v>
      </c>
      <c r="K6" s="21">
        <f t="shared" si="0"/>
        <v>283.25802409786411</v>
      </c>
      <c r="L6" s="21">
        <f t="shared" si="0"/>
        <v>288.0734105075353</v>
      </c>
      <c r="M6" s="21">
        <f t="shared" si="0"/>
        <v>292.97065848615239</v>
      </c>
      <c r="N6" s="21">
        <f t="shared" ca="1" si="0"/>
        <v>-45253.261743322451</v>
      </c>
      <c r="O6" s="21">
        <f t="shared" si="0"/>
        <v>303.01632939498813</v>
      </c>
      <c r="P6" s="21">
        <f t="shared" si="0"/>
        <v>308.16760699470979</v>
      </c>
      <c r="Q6" s="21">
        <f t="shared" si="0"/>
        <v>313.40645631361622</v>
      </c>
      <c r="R6" s="21">
        <f t="shared" si="0"/>
        <v>318.73436607094118</v>
      </c>
      <c r="S6" s="21">
        <f t="shared" ca="1" si="0"/>
        <v>-59700.062553734737</v>
      </c>
      <c r="T6" s="21">
        <f t="shared" si="0"/>
        <v>329.66344874915012</v>
      </c>
      <c r="U6" s="21">
        <f t="shared" si="0"/>
        <v>335.26772737788633</v>
      </c>
      <c r="V6" s="21">
        <f t="shared" si="0"/>
        <v>340.96727874331555</v>
      </c>
      <c r="W6" s="21">
        <f t="shared" ref="W6:AG6" si="1">-W30</f>
        <v>4495.6896726483428</v>
      </c>
      <c r="X6" s="21">
        <f t="shared" ca="1" si="1"/>
        <v>-71857.693644180225</v>
      </c>
      <c r="Y6" s="21">
        <f t="shared" si="1"/>
        <v>430.38468451455992</v>
      </c>
      <c r="Z6" s="21">
        <f t="shared" si="1"/>
        <v>437.70122415130027</v>
      </c>
      <c r="AA6" s="21">
        <f t="shared" si="1"/>
        <v>445.14214496187924</v>
      </c>
      <c r="AB6" s="21">
        <f t="shared" si="1"/>
        <v>452.70956142623618</v>
      </c>
      <c r="AC6" s="21">
        <f t="shared" ca="1" si="1"/>
        <v>-82828.93765312717</v>
      </c>
      <c r="AD6" s="21">
        <f t="shared" si="1"/>
        <v>468.23251957797402</v>
      </c>
      <c r="AE6" s="21">
        <f t="shared" si="1"/>
        <v>476.19247241079574</v>
      </c>
      <c r="AF6" s="21">
        <f t="shared" si="1"/>
        <v>484.28774444178998</v>
      </c>
      <c r="AG6" s="21">
        <f t="shared" si="1"/>
        <v>492.52063609729521</v>
      </c>
      <c r="AI6" s="529"/>
    </row>
    <row r="7" spans="1:125" ht="18" customHeight="1" outlineLevel="1">
      <c r="A7" s="3" t="s">
        <v>81</v>
      </c>
      <c r="B7" s="21">
        <v>0</v>
      </c>
      <c r="C7" s="21">
        <f>-'Imm.  Mat.'!E362-'Imm.  Imm.'!E149</f>
        <v>-90000</v>
      </c>
      <c r="D7" s="21">
        <f>-'Imm.  Mat.'!F362-'Imm.  Imm.'!F149</f>
        <v>0</v>
      </c>
      <c r="E7" s="21">
        <f>-'Imm.  Mat.'!G362-'Imm.  Imm.'!G149</f>
        <v>0</v>
      </c>
      <c r="F7" s="21">
        <f>-'Imm.  Mat.'!H362-'Imm.  Imm.'!H149</f>
        <v>0</v>
      </c>
      <c r="G7" s="21">
        <f>-'Imm.  Mat.'!I362-'Imm.  Imm.'!I149</f>
        <v>0</v>
      </c>
      <c r="H7" s="21">
        <f>-'Imm.  Mat.'!J362-'Imm.  Imm.'!J149</f>
        <v>0</v>
      </c>
      <c r="I7" s="21">
        <f>-'Imm.  Mat.'!K362-'Imm.  Imm.'!K149</f>
        <v>0</v>
      </c>
      <c r="J7" s="21">
        <f>-'Imm.  Mat.'!L362-'Imm.  Imm.'!L149</f>
        <v>0</v>
      </c>
      <c r="K7" s="21">
        <f>-'Imm.  Mat.'!M362-'Imm.  Imm.'!M149</f>
        <v>0</v>
      </c>
      <c r="L7" s="21">
        <f>-'Imm.  Mat.'!N362-'Imm.  Imm.'!N149</f>
        <v>0</v>
      </c>
      <c r="M7" s="21">
        <f>-'Imm.  Mat.'!O362-'Imm.  Imm.'!O149</f>
        <v>0</v>
      </c>
      <c r="N7" s="21">
        <f>-'Imm.  Mat.'!P362-'Imm.  Imm.'!P149</f>
        <v>0</v>
      </c>
      <c r="O7" s="21">
        <f>-'Imm.  Mat.'!Q362-'Imm.  Imm.'!Q149</f>
        <v>0</v>
      </c>
      <c r="P7" s="21">
        <f>-'Imm.  Mat.'!R362-'Imm.  Imm.'!R149</f>
        <v>0</v>
      </c>
      <c r="Q7" s="21">
        <f>-'Imm.  Mat.'!S362-'Imm.  Imm.'!S149</f>
        <v>0</v>
      </c>
      <c r="R7" s="21">
        <f>-'Imm.  Mat.'!T362-'Imm.  Imm.'!T149</f>
        <v>0</v>
      </c>
      <c r="S7" s="21">
        <f>-'Imm.  Mat.'!U362-'Imm.  Imm.'!U149</f>
        <v>0</v>
      </c>
      <c r="T7" s="21">
        <f>-'Imm.  Mat.'!V362-'Imm.  Imm.'!V149</f>
        <v>0</v>
      </c>
      <c r="U7" s="21">
        <f>-'Imm.  Mat.'!W362-'Imm.  Imm.'!W149</f>
        <v>0</v>
      </c>
      <c r="V7" s="21">
        <f>-'Imm.  Mat.'!X362-'Imm.  Imm.'!X149</f>
        <v>0</v>
      </c>
      <c r="W7" s="21">
        <f>-'Imm.  Mat.'!Y362-'Imm.  Imm.'!Y149</f>
        <v>0</v>
      </c>
      <c r="X7" s="21">
        <f>-'Imm.  Mat.'!Z362-'Imm.  Imm.'!Z149</f>
        <v>0</v>
      </c>
      <c r="Y7" s="21">
        <f>-'Imm.  Mat.'!AA362-'Imm.  Imm.'!AA149</f>
        <v>0</v>
      </c>
      <c r="Z7" s="21">
        <f>-'Imm.  Mat.'!AB362-'Imm.  Imm.'!AB149</f>
        <v>0</v>
      </c>
      <c r="AA7" s="21">
        <f>-'Imm.  Mat.'!AC362-'Imm.  Imm.'!AC149</f>
        <v>0</v>
      </c>
      <c r="AB7" s="21">
        <f>-'Imm.  Mat.'!AD362-'Imm.  Imm.'!AD149</f>
        <v>0</v>
      </c>
      <c r="AC7" s="21">
        <f>-'Imm.  Mat.'!AE362-'Imm.  Imm.'!AE149</f>
        <v>0</v>
      </c>
      <c r="AD7" s="21">
        <f>-'Imm.  Mat.'!AF362-'Imm.  Imm.'!AF149</f>
        <v>0</v>
      </c>
      <c r="AE7" s="21">
        <f>-'Imm.  Mat.'!AG362-'Imm.  Imm.'!AG149</f>
        <v>0</v>
      </c>
      <c r="AF7" s="21">
        <f>-'Imm.  Mat.'!AH362-'Imm.  Imm.'!AH149</f>
        <v>0</v>
      </c>
      <c r="AG7" s="21">
        <f>-'Imm.  Mat.'!AI362-'Imm.  Imm.'!AI149</f>
        <v>0</v>
      </c>
      <c r="AH7" s="21"/>
      <c r="AI7" s="529"/>
    </row>
    <row r="8" spans="1:125" s="4" customFormat="1" ht="21.75" customHeight="1" outlineLevel="1">
      <c r="A8" s="160" t="s">
        <v>20</v>
      </c>
      <c r="B8" s="161">
        <f t="shared" ref="B8:V8" si="2">SUM(B5:B7)</f>
        <v>0</v>
      </c>
      <c r="C8" s="161">
        <f t="shared" si="2"/>
        <v>10079.972166666645</v>
      </c>
      <c r="D8" s="161">
        <f t="shared" si="2"/>
        <v>-440445.68761966669</v>
      </c>
      <c r="E8" s="161">
        <f t="shared" si="2"/>
        <v>-448814.66430920101</v>
      </c>
      <c r="F8" s="161">
        <f t="shared" si="2"/>
        <v>-459871.18270847859</v>
      </c>
      <c r="G8" s="161">
        <f t="shared" si="2"/>
        <v>-464262.32370850135</v>
      </c>
      <c r="H8" s="161">
        <f t="shared" si="2"/>
        <v>-472154.78321154579</v>
      </c>
      <c r="I8" s="161">
        <f t="shared" ca="1" si="2"/>
        <v>-507618.9121872551</v>
      </c>
      <c r="J8" s="161">
        <f t="shared" si="2"/>
        <v>-488344.49857308628</v>
      </c>
      <c r="K8" s="161">
        <f t="shared" si="2"/>
        <v>-496646.35504882876</v>
      </c>
      <c r="L8" s="161">
        <f t="shared" si="2"/>
        <v>-505089.34308465885</v>
      </c>
      <c r="M8" s="161">
        <f t="shared" si="2"/>
        <v>-513675.86191709805</v>
      </c>
      <c r="N8" s="161">
        <f t="shared" ca="1" si="2"/>
        <v>-567959.56447269162</v>
      </c>
      <c r="O8" s="161">
        <f t="shared" si="2"/>
        <v>-531289.29354637337</v>
      </c>
      <c r="P8" s="161">
        <f t="shared" si="2"/>
        <v>-540321.21153666161</v>
      </c>
      <c r="Q8" s="161">
        <f t="shared" si="2"/>
        <v>-549506.67213278485</v>
      </c>
      <c r="R8" s="161">
        <f t="shared" si="2"/>
        <v>-558848.28555904212</v>
      </c>
      <c r="S8" s="161">
        <f t="shared" ca="1" si="2"/>
        <v>-628372.92181757477</v>
      </c>
      <c r="T8" s="161">
        <f t="shared" si="2"/>
        <v>-578010.63442257605</v>
      </c>
      <c r="U8" s="161">
        <f t="shared" si="2"/>
        <v>-587836.81520775973</v>
      </c>
      <c r="V8" s="161">
        <f t="shared" si="2"/>
        <v>-597830.04106629163</v>
      </c>
      <c r="W8" s="161">
        <f t="shared" ref="W8:AG8" si="3">SUM(W5:W7)</f>
        <v>-603844.22581425204</v>
      </c>
      <c r="X8" s="161">
        <f t="shared" ca="1" si="3"/>
        <v>-690539.38769435789</v>
      </c>
      <c r="Y8" s="161">
        <f t="shared" si="3"/>
        <v>-628768.89816451608</v>
      </c>
      <c r="Z8" s="161">
        <f t="shared" si="3"/>
        <v>-639457.96943331277</v>
      </c>
      <c r="AA8" s="161">
        <f t="shared" si="3"/>
        <v>-650328.75491367909</v>
      </c>
      <c r="AB8" s="161">
        <f t="shared" si="3"/>
        <v>-661384.34374721162</v>
      </c>
      <c r="AC8" s="161">
        <f t="shared" ca="1" si="3"/>
        <v>-755917.2208680117</v>
      </c>
      <c r="AD8" s="161">
        <f t="shared" si="3"/>
        <v>-684062.55150995974</v>
      </c>
      <c r="AE8" s="161">
        <f t="shared" si="3"/>
        <v>-695691.61488562892</v>
      </c>
      <c r="AF8" s="161">
        <f t="shared" si="3"/>
        <v>-707518.37233868462</v>
      </c>
      <c r="AG8" s="162">
        <f t="shared" si="3"/>
        <v>-719546.18466844223</v>
      </c>
      <c r="AH8" s="171"/>
      <c r="AI8" s="529"/>
    </row>
    <row r="9" spans="1:125" ht="6" customHeight="1" outlineLevel="1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I9" s="529"/>
    </row>
    <row r="10" spans="1:125" ht="18" customHeight="1" outlineLevel="1">
      <c r="A10" s="3" t="s">
        <v>937</v>
      </c>
      <c r="B10" s="21">
        <f>CE!D24</f>
        <v>0</v>
      </c>
      <c r="C10" s="21">
        <f>CE!E24</f>
        <v>0</v>
      </c>
      <c r="D10" s="21">
        <f>CE!F24</f>
        <v>508499.99999999994</v>
      </c>
      <c r="E10" s="21">
        <f>CE!G24</f>
        <v>517144.49999999988</v>
      </c>
      <c r="F10" s="21">
        <f>CE!H24</f>
        <v>525935.95649999985</v>
      </c>
      <c r="G10" s="21">
        <f>CE!I24</f>
        <v>534876.86776049971</v>
      </c>
      <c r="H10" s="21">
        <f>CE!J24</f>
        <v>543969.77451242809</v>
      </c>
      <c r="I10" s="21">
        <f>CE!K24</f>
        <v>553217.26067913929</v>
      </c>
      <c r="J10" s="21">
        <f>CE!L24</f>
        <v>562621.95411068457</v>
      </c>
      <c r="K10" s="21">
        <f>CE!M24</f>
        <v>572186.5273305662</v>
      </c>
      <c r="L10" s="21">
        <f>CE!N24</f>
        <v>581913.69829518581</v>
      </c>
      <c r="M10" s="21">
        <f>CE!O24</f>
        <v>591806.23116620386</v>
      </c>
      <c r="N10" s="21">
        <f>CE!P24</f>
        <v>601866.93709602929</v>
      </c>
      <c r="O10" s="21">
        <f>CE!Q24</f>
        <v>612098.67502666183</v>
      </c>
      <c r="P10" s="21">
        <f>CE!R24</f>
        <v>622504.35250211495</v>
      </c>
      <c r="Q10" s="21">
        <f>CE!S24</f>
        <v>633086.92649465089</v>
      </c>
      <c r="R10" s="21">
        <f>CE!T24</f>
        <v>643849.40424505982</v>
      </c>
      <c r="S10" s="21">
        <f>CE!U24</f>
        <v>654794.84411722585</v>
      </c>
      <c r="T10" s="21">
        <f>CE!V24</f>
        <v>665926.3564672186</v>
      </c>
      <c r="U10" s="21">
        <f>CE!W24</f>
        <v>677247.10452716134</v>
      </c>
      <c r="V10" s="21">
        <f>CE!X24</f>
        <v>688760.30530412297</v>
      </c>
      <c r="W10" s="21">
        <f>CE!Y24</f>
        <v>700469.23049429304</v>
      </c>
      <c r="X10" s="21">
        <f>CE!Z24</f>
        <v>712377.20741269598</v>
      </c>
      <c r="Y10" s="21">
        <f>CE!AA24</f>
        <v>724487.61993871164</v>
      </c>
      <c r="Z10" s="21">
        <f>CE!AB24</f>
        <v>736803.90947766975</v>
      </c>
      <c r="AA10" s="21">
        <f>CE!AC24</f>
        <v>749329.57593878999</v>
      </c>
      <c r="AB10" s="21">
        <f>CE!AD24</f>
        <v>762068.1787297494</v>
      </c>
      <c r="AC10" s="21">
        <f>CE!AE24</f>
        <v>775023.33776815515</v>
      </c>
      <c r="AD10" s="21">
        <f>CE!AF24</f>
        <v>788198.73451021372</v>
      </c>
      <c r="AE10" s="21">
        <f>CE!AG24</f>
        <v>801598.1129968873</v>
      </c>
      <c r="AF10" s="21">
        <f>CE!AH24</f>
        <v>815225.28091783426</v>
      </c>
      <c r="AG10" s="21">
        <f>CE!AI24</f>
        <v>829084.11069343751</v>
      </c>
      <c r="AI10" s="529"/>
    </row>
    <row r="11" spans="1:125" ht="18" customHeight="1" outlineLevel="1">
      <c r="A11" s="3" t="s">
        <v>83</v>
      </c>
      <c r="B11" s="21">
        <f>CE!D25</f>
        <v>0</v>
      </c>
      <c r="C11" s="21">
        <f ca="1">CE!E25</f>
        <v>797.18342906259443</v>
      </c>
      <c r="D11" s="21">
        <f ca="1">CE!F25</f>
        <v>2506.9284496209807</v>
      </c>
      <c r="E11" s="21">
        <f ca="1">CE!G25</f>
        <v>4355.1436611171566</v>
      </c>
      <c r="F11" s="21">
        <f ca="1">CE!H25</f>
        <v>6211.4980441099815</v>
      </c>
      <c r="G11" s="21">
        <f ca="1">CE!I25</f>
        <v>8140.953717954807</v>
      </c>
      <c r="H11" s="21">
        <f ca="1">CE!J25</f>
        <v>10197.662998188076</v>
      </c>
      <c r="I11" s="21">
        <f ca="1">CE!K25</f>
        <v>11917.750518783476</v>
      </c>
      <c r="J11" s="21">
        <f ca="1">CE!L25</f>
        <v>13710.409092245973</v>
      </c>
      <c r="K11" s="21">
        <f ca="1">CE!M25</f>
        <v>15994.027226009212</v>
      </c>
      <c r="L11" s="21">
        <f ca="1">CE!N25</f>
        <v>18364.031550196425</v>
      </c>
      <c r="M11" s="21">
        <f ca="1">CE!O25</f>
        <v>20822.958418439732</v>
      </c>
      <c r="N11" s="21">
        <f ca="1">CE!P25</f>
        <v>22682.473672448035</v>
      </c>
      <c r="O11" s="21">
        <f ca="1">CE!Q25</f>
        <v>24620.676136701906</v>
      </c>
      <c r="P11" s="21">
        <f ca="1">CE!R25</f>
        <v>27330.897900242941</v>
      </c>
      <c r="Q11" s="21">
        <f ca="1">CE!S25</f>
        <v>30140.171267697453</v>
      </c>
      <c r="R11" s="21">
        <f ca="1">CE!T25</f>
        <v>33051.369425577919</v>
      </c>
      <c r="S11" s="21">
        <f ca="1">CE!U25</f>
        <v>35156.97166172682</v>
      </c>
      <c r="T11" s="21">
        <f ca="1">CE!V25</f>
        <v>37350.034276702587</v>
      </c>
      <c r="U11" s="21">
        <f ca="1">CE!W25</f>
        <v>40543.673379164393</v>
      </c>
      <c r="V11" s="21">
        <f ca="1">CE!X25</f>
        <v>43850.576522663549</v>
      </c>
      <c r="W11" s="21">
        <f ca="1">CE!Y25</f>
        <v>47336.92551257911</v>
      </c>
      <c r="X11" s="21">
        <f ca="1">CE!Z25</f>
        <v>49849.221754394945</v>
      </c>
      <c r="Y11" s="21">
        <f ca="1">CE!AA25</f>
        <v>52399.798330805417</v>
      </c>
      <c r="Z11" s="21">
        <f ca="1">CE!AB25</f>
        <v>56148.522140014858</v>
      </c>
      <c r="AA11" s="21">
        <f ca="1">CE!AC25</f>
        <v>60026.664095900574</v>
      </c>
      <c r="AB11" s="21">
        <f ca="1">CE!AD25</f>
        <v>64037.898990433285</v>
      </c>
      <c r="AC11" s="21">
        <f ca="1">CE!AE25</f>
        <v>66922.633708663852</v>
      </c>
      <c r="AD11" s="21">
        <f ca="1">CE!AF25</f>
        <v>69919.738566413056</v>
      </c>
      <c r="AE11" s="21">
        <f ca="1">CE!AG25</f>
        <v>74295.909038954051</v>
      </c>
      <c r="AF11" s="21">
        <f ca="1">CE!AH25</f>
        <v>78819.563675536367</v>
      </c>
      <c r="AG11" s="21">
        <f ca="1">CE!AI25</f>
        <v>83494.850501473324</v>
      </c>
      <c r="AI11" s="529"/>
    </row>
    <row r="12" spans="1:125" ht="18" customHeight="1" outlineLevel="1">
      <c r="A12" s="3" t="s">
        <v>21</v>
      </c>
      <c r="B12" s="21">
        <f>CE!D28</f>
        <v>0</v>
      </c>
      <c r="C12" s="21">
        <f ca="1">CE!E28</f>
        <v>-7731.5936582229415</v>
      </c>
      <c r="D12" s="21">
        <f ca="1">CE!F28</f>
        <v>-9723.8013969014537</v>
      </c>
      <c r="E12" s="21">
        <f ca="1">CE!G28</f>
        <v>-10308.071351890459</v>
      </c>
      <c r="F12" s="21">
        <f ca="1">CE!H28</f>
        <v>-10896.220969468593</v>
      </c>
      <c r="G12" s="21">
        <f ca="1">CE!I28</f>
        <v>-11505.170379794246</v>
      </c>
      <c r="H12" s="21">
        <f ca="1">CE!J28</f>
        <v>-12149.029673678036</v>
      </c>
      <c r="I12" s="21">
        <f ca="1">CE!K28</f>
        <v>-12707.222263033374</v>
      </c>
      <c r="J12" s="21">
        <f ca="1">CE!L28</f>
        <v>-13286.169813312168</v>
      </c>
      <c r="K12" s="21">
        <f ca="1">CE!M28</f>
        <v>-13994.68540672919</v>
      </c>
      <c r="L12" s="21">
        <f ca="1">CE!N28</f>
        <v>-14727.612582593301</v>
      </c>
      <c r="M12" s="21">
        <f ca="1">CE!O28</f>
        <v>-15485.643962788778</v>
      </c>
      <c r="N12" s="21">
        <f ca="1">CE!P28</f>
        <v>-16089.846399988841</v>
      </c>
      <c r="O12" s="21">
        <f ca="1">CE!Q28</f>
        <v>-16716.55989586244</v>
      </c>
      <c r="P12" s="21">
        <f ca="1">CE!R28</f>
        <v>-17546.085684088546</v>
      </c>
      <c r="Q12" s="21">
        <f ca="1">CE!S28</f>
        <v>-18403.487647537149</v>
      </c>
      <c r="R12" s="21">
        <f ca="1">CE!T28</f>
        <v>-19289.548901590977</v>
      </c>
      <c r="S12" s="21">
        <f ca="1">CE!U28</f>
        <v>-19968.350761455684</v>
      </c>
      <c r="T12" s="21">
        <f ca="1">CE!V28</f>
        <v>-20672.125189549297</v>
      </c>
      <c r="U12" s="21">
        <f ca="1">CE!W28</f>
        <v>-21638.320332908679</v>
      </c>
      <c r="V12" s="21">
        <f ca="1">CE!X28</f>
        <v>-22636.273559541998</v>
      </c>
      <c r="W12" s="21">
        <f ca="1">CE!Y28</f>
        <v>-23683.231399202086</v>
      </c>
      <c r="X12" s="21">
        <f ca="1">CE!Z28</f>
        <v>-24479.324145095037</v>
      </c>
      <c r="Y12" s="21">
        <f ca="1">CE!AA28</f>
        <v>-25287.799005273948</v>
      </c>
      <c r="Z12" s="21">
        <f ca="1">CE!AB28</f>
        <v>-26410.2626701359</v>
      </c>
      <c r="AA12" s="21">
        <f ca="1">CE!AC28</f>
        <v>-27568.887576199631</v>
      </c>
      <c r="AB12" s="21">
        <f ca="1">CE!AD28</f>
        <v>-28764.671882269649</v>
      </c>
      <c r="AC12" s="21">
        <f ca="1">CE!AE28</f>
        <v>-29670.164817470464</v>
      </c>
      <c r="AD12" s="21">
        <f ca="1">CE!AF28</f>
        <v>-30607.516841389959</v>
      </c>
      <c r="AE12" s="21">
        <f ca="1">CE!AG28</f>
        <v>-31906.113706090699</v>
      </c>
      <c r="AF12" s="21">
        <f ca="1">CE!AH28</f>
        <v>-33245.789926653466</v>
      </c>
      <c r="AG12" s="21">
        <f ca="1">CE!AI28</f>
        <v>-34627.670458704313</v>
      </c>
      <c r="AI12" s="529"/>
    </row>
    <row r="13" spans="1:125" ht="18" hidden="1" customHeight="1" outlineLevel="2">
      <c r="A13" s="3" t="s">
        <v>22</v>
      </c>
      <c r="B13" s="21"/>
      <c r="C13" s="21">
        <f>'Finanz. bancari'!B58</f>
        <v>0</v>
      </c>
      <c r="D13" s="21">
        <f>'Finanz. bancari'!C58</f>
        <v>0</v>
      </c>
      <c r="E13" s="21">
        <f>'Finanz. bancari'!D58</f>
        <v>0</v>
      </c>
      <c r="F13" s="21">
        <f>'Finanz. bancari'!E58</f>
        <v>0</v>
      </c>
      <c r="G13" s="21">
        <f>'Finanz. bancari'!F58</f>
        <v>0</v>
      </c>
      <c r="H13" s="21">
        <f>'Finanz. bancari'!G58</f>
        <v>0</v>
      </c>
      <c r="I13" s="21">
        <f>'Finanz. bancari'!H58</f>
        <v>0</v>
      </c>
      <c r="J13" s="21">
        <f>'Finanz. bancari'!I58</f>
        <v>0</v>
      </c>
      <c r="K13" s="21">
        <f>'Finanz. bancari'!J58</f>
        <v>0</v>
      </c>
      <c r="L13" s="21">
        <f>'Finanz. bancari'!K58</f>
        <v>0</v>
      </c>
      <c r="M13" s="21">
        <f>'Finanz. bancari'!L58</f>
        <v>0</v>
      </c>
      <c r="N13" s="21">
        <f>'Finanz. bancari'!M58</f>
        <v>0</v>
      </c>
      <c r="O13" s="21">
        <f>'Finanz. bancari'!N58</f>
        <v>0</v>
      </c>
      <c r="P13" s="21">
        <f>'Finanz. bancari'!O58</f>
        <v>0</v>
      </c>
      <c r="Q13" s="21">
        <f>'Finanz. bancari'!P58</f>
        <v>0</v>
      </c>
      <c r="R13" s="21">
        <f>'Finanz. bancari'!Q58</f>
        <v>0</v>
      </c>
      <c r="S13" s="21">
        <f>'Finanz. bancari'!R58</f>
        <v>0</v>
      </c>
      <c r="T13" s="21">
        <f>'Finanz. bancari'!S58</f>
        <v>0</v>
      </c>
      <c r="U13" s="21">
        <f>'Finanz. bancari'!T58</f>
        <v>0</v>
      </c>
      <c r="V13" s="21">
        <f>'Finanz. bancari'!U58</f>
        <v>0</v>
      </c>
      <c r="W13" s="21">
        <f>'Finanz. bancari'!V58</f>
        <v>0</v>
      </c>
      <c r="X13" s="21">
        <f>'Finanz. bancari'!W58</f>
        <v>0</v>
      </c>
      <c r="Y13" s="21">
        <f>'Finanz. bancari'!X58</f>
        <v>0</v>
      </c>
      <c r="Z13" s="21">
        <f>'Finanz. bancari'!Y58</f>
        <v>0</v>
      </c>
      <c r="AA13" s="21">
        <f>'Finanz. bancari'!Z58</f>
        <v>0</v>
      </c>
      <c r="AB13" s="21">
        <f>'Finanz. bancari'!AA58</f>
        <v>0</v>
      </c>
      <c r="AC13" s="21">
        <f>'Finanz. bancari'!AB58</f>
        <v>0</v>
      </c>
      <c r="AD13" s="21">
        <f>'Finanz. bancari'!AC58</f>
        <v>0</v>
      </c>
      <c r="AE13" s="21">
        <f>'Finanz. bancari'!AD58</f>
        <v>0</v>
      </c>
      <c r="AF13" s="21">
        <f>'Finanz. bancari'!AE58</f>
        <v>0</v>
      </c>
      <c r="AG13" s="21">
        <f>'Finanz. bancari'!AF58</f>
        <v>0</v>
      </c>
      <c r="AI13" s="529"/>
    </row>
    <row r="14" spans="1:125" ht="18" hidden="1" customHeight="1" outlineLevel="2">
      <c r="A14" s="3" t="s">
        <v>23</v>
      </c>
      <c r="B14" s="21"/>
      <c r="C14" s="21">
        <f>'Finanz. bancari'!B60</f>
        <v>0</v>
      </c>
      <c r="D14" s="21">
        <f>'Finanz. bancari'!C60</f>
        <v>0</v>
      </c>
      <c r="E14" s="21">
        <f>'Finanz. bancari'!D60</f>
        <v>0</v>
      </c>
      <c r="F14" s="21">
        <f>'Finanz. bancari'!E60</f>
        <v>0</v>
      </c>
      <c r="G14" s="21">
        <f>'Finanz. bancari'!F60</f>
        <v>0</v>
      </c>
      <c r="H14" s="21">
        <f>'Finanz. bancari'!G60</f>
        <v>0</v>
      </c>
      <c r="I14" s="21">
        <f>'Finanz. bancari'!H60</f>
        <v>0</v>
      </c>
      <c r="J14" s="21">
        <f>'Finanz. bancari'!I60</f>
        <v>0</v>
      </c>
      <c r="K14" s="21">
        <f>'Finanz. bancari'!J60</f>
        <v>0</v>
      </c>
      <c r="L14" s="21">
        <f>'Finanz. bancari'!K60</f>
        <v>0</v>
      </c>
      <c r="M14" s="21">
        <f>'Finanz. bancari'!L60</f>
        <v>0</v>
      </c>
      <c r="N14" s="21">
        <f>'Finanz. bancari'!M60</f>
        <v>0</v>
      </c>
      <c r="O14" s="21">
        <f>'Finanz. bancari'!N60</f>
        <v>0</v>
      </c>
      <c r="P14" s="21">
        <f>'Finanz. bancari'!O60</f>
        <v>0</v>
      </c>
      <c r="Q14" s="21">
        <f>'Finanz. bancari'!P60</f>
        <v>0</v>
      </c>
      <c r="R14" s="21">
        <f>'Finanz. bancari'!Q60</f>
        <v>0</v>
      </c>
      <c r="S14" s="21">
        <f>'Finanz. bancari'!R60</f>
        <v>0</v>
      </c>
      <c r="T14" s="21">
        <f>'Finanz. bancari'!S60</f>
        <v>0</v>
      </c>
      <c r="U14" s="21">
        <f>'Finanz. bancari'!T60</f>
        <v>0</v>
      </c>
      <c r="V14" s="21">
        <f>'Finanz. bancari'!U60</f>
        <v>0</v>
      </c>
      <c r="W14" s="21">
        <f>'Finanz. bancari'!V60</f>
        <v>0</v>
      </c>
      <c r="X14" s="21">
        <f>'Finanz. bancari'!W60</f>
        <v>0</v>
      </c>
      <c r="Y14" s="21">
        <f>'Finanz. bancari'!X60</f>
        <v>0</v>
      </c>
      <c r="Z14" s="21">
        <f>'Finanz. bancari'!Y60</f>
        <v>0</v>
      </c>
      <c r="AA14" s="21">
        <f>'Finanz. bancari'!Z60</f>
        <v>0</v>
      </c>
      <c r="AB14" s="21">
        <f>'Finanz. bancari'!AA60</f>
        <v>0</v>
      </c>
      <c r="AC14" s="21">
        <f>'Finanz. bancari'!AB60</f>
        <v>0</v>
      </c>
      <c r="AD14" s="21">
        <f>'Finanz. bancari'!AC60</f>
        <v>0</v>
      </c>
      <c r="AE14" s="21">
        <f>'Finanz. bancari'!AD60</f>
        <v>0</v>
      </c>
      <c r="AF14" s="21">
        <f>'Finanz. bancari'!AE60</f>
        <v>0</v>
      </c>
      <c r="AG14" s="21">
        <f>'Finanz. bancari'!AF60</f>
        <v>0</v>
      </c>
      <c r="AI14" s="529"/>
    </row>
    <row r="15" spans="1:125" s="4" customFormat="1" ht="21.75" customHeight="1" outlineLevel="1" collapsed="1">
      <c r="A15" s="160" t="s">
        <v>131</v>
      </c>
      <c r="B15" s="161">
        <f t="shared" ref="B15:V15" si="4">B8+SUM(B10:B14)</f>
        <v>0</v>
      </c>
      <c r="C15" s="161">
        <f t="shared" ca="1" si="4"/>
        <v>3145.5619375062979</v>
      </c>
      <c r="D15" s="161">
        <f t="shared" ca="1" si="4"/>
        <v>60837.439433052787</v>
      </c>
      <c r="E15" s="161">
        <f t="shared" ca="1" si="4"/>
        <v>62376.908000025607</v>
      </c>
      <c r="F15" s="161">
        <f t="shared" ca="1" si="4"/>
        <v>61380.050866162695</v>
      </c>
      <c r="G15" s="161">
        <f t="shared" ca="1" si="4"/>
        <v>67250.327390158956</v>
      </c>
      <c r="H15" s="161">
        <f t="shared" ca="1" si="4"/>
        <v>69863.624625392375</v>
      </c>
      <c r="I15" s="161">
        <f t="shared" ca="1" si="4"/>
        <v>44808.876747634262</v>
      </c>
      <c r="J15" s="161">
        <f t="shared" ca="1" si="4"/>
        <v>74701.694816532137</v>
      </c>
      <c r="K15" s="161">
        <f t="shared" ca="1" si="4"/>
        <v>77539.514101017383</v>
      </c>
      <c r="L15" s="161">
        <f t="shared" ca="1" si="4"/>
        <v>80460.774178130087</v>
      </c>
      <c r="M15" s="161">
        <f t="shared" ca="1" si="4"/>
        <v>83467.683704756782</v>
      </c>
      <c r="N15" s="161">
        <f t="shared" ca="1" si="4"/>
        <v>40499.999895796878</v>
      </c>
      <c r="O15" s="161">
        <f t="shared" ca="1" si="4"/>
        <v>88713.497721127933</v>
      </c>
      <c r="P15" s="161">
        <f t="shared" ca="1" si="4"/>
        <v>91967.953181607765</v>
      </c>
      <c r="Q15" s="161">
        <f t="shared" ca="1" si="4"/>
        <v>95316.937982026371</v>
      </c>
      <c r="R15" s="161">
        <f t="shared" ca="1" si="4"/>
        <v>98762.939210004639</v>
      </c>
      <c r="S15" s="161">
        <f t="shared" ca="1" si="4"/>
        <v>41610.543199922191</v>
      </c>
      <c r="T15" s="161">
        <f t="shared" ca="1" si="4"/>
        <v>104593.63113179582</v>
      </c>
      <c r="U15" s="161">
        <f t="shared" ca="1" si="4"/>
        <v>108315.64236565738</v>
      </c>
      <c r="V15" s="161">
        <f t="shared" ca="1" si="4"/>
        <v>112144.56720095291</v>
      </c>
      <c r="W15" s="161">
        <f t="shared" ref="W15:AG15" ca="1" si="5">W8+SUM(W10:W14)</f>
        <v>120278.69879341801</v>
      </c>
      <c r="X15" s="161">
        <f t="shared" ca="1" si="5"/>
        <v>47207.717327637947</v>
      </c>
      <c r="Y15" s="161">
        <f t="shared" ca="1" si="5"/>
        <v>122830.72109972697</v>
      </c>
      <c r="Z15" s="161">
        <f t="shared" ca="1" si="5"/>
        <v>127084.19951423595</v>
      </c>
      <c r="AA15" s="161">
        <f t="shared" ca="1" si="5"/>
        <v>131458.5975448119</v>
      </c>
      <c r="AB15" s="161">
        <f t="shared" ca="1" si="5"/>
        <v>135957.06209070142</v>
      </c>
      <c r="AC15" s="161">
        <f t="shared" ca="1" si="5"/>
        <v>56358.585791336838</v>
      </c>
      <c r="AD15" s="161">
        <f t="shared" ca="1" si="5"/>
        <v>143448.4047252771</v>
      </c>
      <c r="AE15" s="161">
        <f t="shared" ca="1" si="5"/>
        <v>148296.29344412172</v>
      </c>
      <c r="AF15" s="161">
        <f t="shared" ca="1" si="5"/>
        <v>153280.68232803245</v>
      </c>
      <c r="AG15" s="162">
        <f t="shared" ca="1" si="5"/>
        <v>158405.10606776422</v>
      </c>
      <c r="AH15" s="171"/>
      <c r="AI15" s="529"/>
    </row>
    <row r="16" spans="1:125" ht="6" customHeight="1" outlineLevel="1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I16" s="529"/>
    </row>
    <row r="17" spans="1:35" ht="18" customHeight="1" outlineLevel="1">
      <c r="A17" s="3" t="s">
        <v>43</v>
      </c>
      <c r="B17" s="21">
        <f>Ipotesi!B21</f>
        <v>0</v>
      </c>
      <c r="C17" s="21">
        <f>Ipotesi!C21</f>
        <v>50000</v>
      </c>
      <c r="D17" s="21">
        <f>Ipotesi!D21</f>
        <v>0</v>
      </c>
      <c r="E17" s="21">
        <f>Ipotesi!E21</f>
        <v>0</v>
      </c>
      <c r="F17" s="21">
        <f>Ipotesi!F21</f>
        <v>0</v>
      </c>
      <c r="G17" s="21">
        <f>Ipotesi!G21</f>
        <v>0</v>
      </c>
      <c r="H17" s="21">
        <f>Ipotesi!H21</f>
        <v>0</v>
      </c>
      <c r="I17" s="21">
        <f>Ipotesi!I21</f>
        <v>0</v>
      </c>
      <c r="J17" s="21">
        <f>Ipotesi!J21</f>
        <v>0</v>
      </c>
      <c r="K17" s="21">
        <f>Ipotesi!K21</f>
        <v>0</v>
      </c>
      <c r="L17" s="21">
        <f>Ipotesi!L21</f>
        <v>0</v>
      </c>
      <c r="M17" s="21">
        <f>Ipotesi!M21</f>
        <v>0</v>
      </c>
      <c r="N17" s="21">
        <f>Ipotesi!N21</f>
        <v>0</v>
      </c>
      <c r="O17" s="21">
        <f>Ipotesi!O21</f>
        <v>0</v>
      </c>
      <c r="P17" s="21">
        <f>Ipotesi!P21</f>
        <v>0</v>
      </c>
      <c r="Q17" s="21">
        <f>Ipotesi!Q21</f>
        <v>0</v>
      </c>
      <c r="R17" s="21">
        <f>Ipotesi!R21</f>
        <v>0</v>
      </c>
      <c r="S17" s="21">
        <f>Ipotesi!S21</f>
        <v>0</v>
      </c>
      <c r="T17" s="21">
        <f>Ipotesi!T21</f>
        <v>0</v>
      </c>
      <c r="U17" s="21">
        <f>Ipotesi!U21</f>
        <v>0</v>
      </c>
      <c r="V17" s="21">
        <f>Ipotesi!V21</f>
        <v>0</v>
      </c>
      <c r="W17" s="21">
        <f>Ipotesi!W21</f>
        <v>0</v>
      </c>
      <c r="X17" s="21">
        <f>Ipotesi!X21</f>
        <v>0</v>
      </c>
      <c r="Y17" s="21">
        <f>Ipotesi!Y21</f>
        <v>0</v>
      </c>
      <c r="Z17" s="21">
        <f>Ipotesi!Z21</f>
        <v>0</v>
      </c>
      <c r="AA17" s="21">
        <f>Ipotesi!AA21</f>
        <v>0</v>
      </c>
      <c r="AB17" s="21">
        <f>Ipotesi!AB21</f>
        <v>0</v>
      </c>
      <c r="AC17" s="21">
        <f>Ipotesi!AC21</f>
        <v>0</v>
      </c>
      <c r="AD17" s="21">
        <f>Ipotesi!AD21</f>
        <v>0</v>
      </c>
      <c r="AE17" s="21">
        <f>Ipotesi!AE21</f>
        <v>0</v>
      </c>
      <c r="AF17" s="21">
        <f>Ipotesi!AF21</f>
        <v>0</v>
      </c>
      <c r="AG17" s="21">
        <f>Ipotesi!AG21</f>
        <v>0</v>
      </c>
      <c r="AI17" s="529"/>
    </row>
    <row r="18" spans="1:35" ht="18" hidden="1" customHeight="1" outlineLevel="2">
      <c r="A18" s="3" t="s">
        <v>113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I18" s="529"/>
    </row>
    <row r="19" spans="1:35" s="4" customFormat="1" ht="21.75" customHeight="1" outlineLevel="1" collapsed="1">
      <c r="A19" s="160" t="s">
        <v>24</v>
      </c>
      <c r="B19" s="161">
        <f>B15+B17+B18</f>
        <v>0</v>
      </c>
      <c r="C19" s="161">
        <f ca="1">C15+C17+C18</f>
        <v>53145.561937506296</v>
      </c>
      <c r="D19" s="161">
        <f ca="1">D15+D17+D18</f>
        <v>60837.439433052787</v>
      </c>
      <c r="E19" s="161">
        <f t="shared" ref="E19:V19" ca="1" si="6">E15+E17+E18</f>
        <v>62376.908000025607</v>
      </c>
      <c r="F19" s="161">
        <f t="shared" ca="1" si="6"/>
        <v>61380.050866162695</v>
      </c>
      <c r="G19" s="161">
        <f t="shared" ca="1" si="6"/>
        <v>67250.327390158956</v>
      </c>
      <c r="H19" s="161">
        <f t="shared" ca="1" si="6"/>
        <v>69863.624625392375</v>
      </c>
      <c r="I19" s="161">
        <f t="shared" ca="1" si="6"/>
        <v>44808.876747634262</v>
      </c>
      <c r="J19" s="161">
        <f t="shared" ca="1" si="6"/>
        <v>74701.694816532137</v>
      </c>
      <c r="K19" s="161">
        <f t="shared" ca="1" si="6"/>
        <v>77539.514101017383</v>
      </c>
      <c r="L19" s="161">
        <f t="shared" ca="1" si="6"/>
        <v>80460.774178130087</v>
      </c>
      <c r="M19" s="161">
        <f t="shared" ca="1" si="6"/>
        <v>83467.683704756782</v>
      </c>
      <c r="N19" s="161">
        <f t="shared" ca="1" si="6"/>
        <v>40499.999895796878</v>
      </c>
      <c r="O19" s="161">
        <f t="shared" ca="1" si="6"/>
        <v>88713.497721127933</v>
      </c>
      <c r="P19" s="161">
        <f t="shared" ca="1" si="6"/>
        <v>91967.953181607765</v>
      </c>
      <c r="Q19" s="161">
        <f t="shared" ca="1" si="6"/>
        <v>95316.937982026371</v>
      </c>
      <c r="R19" s="161">
        <f t="shared" ca="1" si="6"/>
        <v>98762.939210004639</v>
      </c>
      <c r="S19" s="161">
        <f t="shared" ca="1" si="6"/>
        <v>41610.543199922191</v>
      </c>
      <c r="T19" s="161">
        <f t="shared" ca="1" si="6"/>
        <v>104593.63113179582</v>
      </c>
      <c r="U19" s="161">
        <f t="shared" ca="1" si="6"/>
        <v>108315.64236565738</v>
      </c>
      <c r="V19" s="161">
        <f t="shared" ca="1" si="6"/>
        <v>112144.56720095291</v>
      </c>
      <c r="W19" s="161">
        <f t="shared" ref="W19:AG19" ca="1" si="7">W15+W17+W18</f>
        <v>120278.69879341801</v>
      </c>
      <c r="X19" s="161">
        <f t="shared" ca="1" si="7"/>
        <v>47207.717327637947</v>
      </c>
      <c r="Y19" s="161">
        <f t="shared" ca="1" si="7"/>
        <v>122830.72109972697</v>
      </c>
      <c r="Z19" s="161">
        <f t="shared" ca="1" si="7"/>
        <v>127084.19951423595</v>
      </c>
      <c r="AA19" s="161">
        <f t="shared" ca="1" si="7"/>
        <v>131458.5975448119</v>
      </c>
      <c r="AB19" s="161">
        <f t="shared" ca="1" si="7"/>
        <v>135957.06209070142</v>
      </c>
      <c r="AC19" s="161">
        <f t="shared" ca="1" si="7"/>
        <v>56358.585791336838</v>
      </c>
      <c r="AD19" s="161">
        <f t="shared" ca="1" si="7"/>
        <v>143448.4047252771</v>
      </c>
      <c r="AE19" s="161">
        <f t="shared" ca="1" si="7"/>
        <v>148296.29344412172</v>
      </c>
      <c r="AF19" s="161">
        <f t="shared" ca="1" si="7"/>
        <v>153280.68232803245</v>
      </c>
      <c r="AG19" s="162">
        <f t="shared" ca="1" si="7"/>
        <v>158405.10606776422</v>
      </c>
      <c r="AH19" s="171"/>
      <c r="AI19" s="529"/>
    </row>
    <row r="20" spans="1:35" ht="12.75" customHeight="1">
      <c r="C20" s="20"/>
      <c r="AI20" s="258"/>
    </row>
    <row r="21" spans="1:35" ht="18" customHeight="1" outlineLevel="1">
      <c r="A21" s="163" t="s">
        <v>106</v>
      </c>
      <c r="B21" s="164">
        <f>B22+B23+B24-B25-B26-B27-B28</f>
        <v>0</v>
      </c>
      <c r="C21" s="277">
        <f t="shared" ref="C21:V21" si="8">C22+C23+C24-C25-C26-C27-C28</f>
        <v>-17198.686666666668</v>
      </c>
      <c r="D21" s="164">
        <f t="shared" si="8"/>
        <v>-18372.464339999999</v>
      </c>
      <c r="E21" s="164">
        <f t="shared" si="8"/>
        <v>-18684.796233779995</v>
      </c>
      <c r="F21" s="164">
        <f t="shared" si="8"/>
        <v>-15575.768663732995</v>
      </c>
      <c r="G21" s="164">
        <f>G22+G23+G24-G25-G26-G27-G28</f>
        <v>-15840.556731016452</v>
      </c>
      <c r="H21" s="164">
        <f t="shared" ca="1" si="8"/>
        <v>-43547.343856556749</v>
      </c>
      <c r="I21" s="164">
        <f t="shared" si="8"/>
        <v>-16383.713580766271</v>
      </c>
      <c r="J21" s="164">
        <f t="shared" si="8"/>
        <v>-16662.236711639296</v>
      </c>
      <c r="K21" s="164">
        <f t="shared" si="8"/>
        <v>-16945.49473573716</v>
      </c>
      <c r="L21" s="164">
        <f t="shared" si="8"/>
        <v>-17233.568146244696</v>
      </c>
      <c r="M21" s="164">
        <f t="shared" ca="1" si="8"/>
        <v>-63077.751707733725</v>
      </c>
      <c r="N21" s="164">
        <f t="shared" si="8"/>
        <v>-17824.489964411274</v>
      </c>
      <c r="O21" s="164">
        <f t="shared" si="8"/>
        <v>-18127.506293806262</v>
      </c>
      <c r="P21" s="164">
        <f t="shared" si="8"/>
        <v>-18435.673900800972</v>
      </c>
      <c r="Q21" s="164">
        <f t="shared" si="8"/>
        <v>-18749.080357114588</v>
      </c>
      <c r="R21" s="164">
        <f t="shared" ca="1" si="8"/>
        <v>-79092.030127214384</v>
      </c>
      <c r="S21" s="164">
        <f t="shared" si="8"/>
        <v>-19391.967573479684</v>
      </c>
      <c r="T21" s="164">
        <f t="shared" si="8"/>
        <v>-19721.631022228834</v>
      </c>
      <c r="U21" s="164">
        <f t="shared" si="8"/>
        <v>-20056.89874960672</v>
      </c>
      <c r="V21" s="164">
        <f t="shared" si="8"/>
        <v>-20397.866028350036</v>
      </c>
      <c r="W21" s="164">
        <f t="shared" ref="W21:AG21" ca="1" si="9">W22+W23+W24-W25-W26-W27-W28</f>
        <v>-97174.439792095494</v>
      </c>
      <c r="X21" s="164">
        <f t="shared" si="9"/>
        <v>-25316.746147915354</v>
      </c>
      <c r="Y21" s="164">
        <f t="shared" si="9"/>
        <v>-25747.130832429913</v>
      </c>
      <c r="Z21" s="164">
        <f t="shared" si="9"/>
        <v>-26184.832056581214</v>
      </c>
      <c r="AA21" s="164">
        <f t="shared" si="9"/>
        <v>-26629.974201543093</v>
      </c>
      <c r="AB21" s="164">
        <f t="shared" ca="1" si="9"/>
        <v>-110372.02704006684</v>
      </c>
      <c r="AC21" s="164">
        <f t="shared" si="9"/>
        <v>-27543.089386939806</v>
      </c>
      <c r="AD21" s="164">
        <f t="shared" si="9"/>
        <v>-28011.32190651778</v>
      </c>
      <c r="AE21" s="164">
        <f t="shared" si="9"/>
        <v>-28487.514378928576</v>
      </c>
      <c r="AF21" s="164">
        <f t="shared" si="9"/>
        <v>-28971.802123370366</v>
      </c>
      <c r="AG21" s="165">
        <f t="shared" si="9"/>
        <v>-29464.322759467661</v>
      </c>
      <c r="AH21" s="166"/>
      <c r="AI21" s="258"/>
    </row>
    <row r="22" spans="1:35" ht="18" customHeight="1" outlineLevel="1">
      <c r="A22" s="166" t="s">
        <v>8</v>
      </c>
      <c r="B22" s="167">
        <f>SP!B8</f>
        <v>0</v>
      </c>
      <c r="C22" s="23">
        <f>SP!C8</f>
        <v>866.66666666666663</v>
      </c>
      <c r="D22" s="167">
        <f>SP!D8</f>
        <v>0</v>
      </c>
      <c r="E22" s="167">
        <f>SP!E8</f>
        <v>0</v>
      </c>
      <c r="F22" s="167">
        <f>SP!F8</f>
        <v>0</v>
      </c>
      <c r="G22" s="167">
        <f>SP!G8</f>
        <v>0</v>
      </c>
      <c r="H22" s="167">
        <f>SP!H8</f>
        <v>0</v>
      </c>
      <c r="I22" s="167">
        <f>SP!I8</f>
        <v>0</v>
      </c>
      <c r="J22" s="167">
        <f>SP!J8</f>
        <v>0</v>
      </c>
      <c r="K22" s="167">
        <f>SP!K8</f>
        <v>0</v>
      </c>
      <c r="L22" s="167">
        <f>SP!L8</f>
        <v>0</v>
      </c>
      <c r="M22" s="167">
        <f>SP!M8</f>
        <v>0</v>
      </c>
      <c r="N22" s="167">
        <f>SP!N8</f>
        <v>0</v>
      </c>
      <c r="O22" s="167">
        <f>SP!O8</f>
        <v>0</v>
      </c>
      <c r="P22" s="167">
        <f>SP!P8</f>
        <v>0</v>
      </c>
      <c r="Q22" s="167">
        <f>SP!Q8</f>
        <v>0</v>
      </c>
      <c r="R22" s="167">
        <f>SP!R8</f>
        <v>0</v>
      </c>
      <c r="S22" s="167">
        <f>SP!S8</f>
        <v>0</v>
      </c>
      <c r="T22" s="167">
        <f>SP!T8</f>
        <v>0</v>
      </c>
      <c r="U22" s="167">
        <f>SP!U8</f>
        <v>0</v>
      </c>
      <c r="V22" s="167">
        <f>SP!V8</f>
        <v>0</v>
      </c>
      <c r="W22" s="167">
        <f>SP!W8</f>
        <v>0</v>
      </c>
      <c r="X22" s="167">
        <f>SP!X8</f>
        <v>0</v>
      </c>
      <c r="Y22" s="167">
        <f>SP!Y8</f>
        <v>0</v>
      </c>
      <c r="Z22" s="167">
        <f>SP!Z8</f>
        <v>0</v>
      </c>
      <c r="AA22" s="167">
        <f>SP!AA8</f>
        <v>0</v>
      </c>
      <c r="AB22" s="167">
        <f>SP!AB8</f>
        <v>0</v>
      </c>
      <c r="AC22" s="167">
        <f>SP!AC8</f>
        <v>0</v>
      </c>
      <c r="AD22" s="167">
        <f>SP!AD8</f>
        <v>0</v>
      </c>
      <c r="AE22" s="167">
        <f>SP!AE8</f>
        <v>0</v>
      </c>
      <c r="AF22" s="167">
        <f>SP!AF8</f>
        <v>0</v>
      </c>
      <c r="AG22" s="168">
        <f>SP!AG8</f>
        <v>0</v>
      </c>
      <c r="AH22" s="166"/>
      <c r="AI22" s="258"/>
    </row>
    <row r="23" spans="1:35" ht="18" hidden="1" customHeight="1" outlineLevel="2">
      <c r="A23" s="166" t="s">
        <v>92</v>
      </c>
      <c r="B23" s="167">
        <f>SP!B9</f>
        <v>0</v>
      </c>
      <c r="C23" s="23">
        <f>SP!C9</f>
        <v>0</v>
      </c>
      <c r="D23" s="167">
        <f>SP!D9</f>
        <v>0</v>
      </c>
      <c r="E23" s="167">
        <f>SP!E9</f>
        <v>0</v>
      </c>
      <c r="F23" s="167">
        <f>SP!F9</f>
        <v>0</v>
      </c>
      <c r="G23" s="167">
        <f>SP!G9</f>
        <v>0</v>
      </c>
      <c r="H23" s="167">
        <f>SP!H9</f>
        <v>0</v>
      </c>
      <c r="I23" s="167">
        <f>SP!I9</f>
        <v>0</v>
      </c>
      <c r="J23" s="167">
        <f>SP!J9</f>
        <v>0</v>
      </c>
      <c r="K23" s="167">
        <f>SP!K9</f>
        <v>0</v>
      </c>
      <c r="L23" s="167">
        <f>SP!L9</f>
        <v>0</v>
      </c>
      <c r="M23" s="167">
        <f>SP!M9</f>
        <v>0</v>
      </c>
      <c r="N23" s="167">
        <f>SP!N9</f>
        <v>0</v>
      </c>
      <c r="O23" s="167">
        <f>SP!O9</f>
        <v>0</v>
      </c>
      <c r="P23" s="167">
        <f>SP!P9</f>
        <v>0</v>
      </c>
      <c r="Q23" s="167">
        <f>SP!Q9</f>
        <v>0</v>
      </c>
      <c r="R23" s="167">
        <f>SP!R9</f>
        <v>0</v>
      </c>
      <c r="S23" s="167">
        <f>SP!S9</f>
        <v>0</v>
      </c>
      <c r="T23" s="167">
        <f>SP!T9</f>
        <v>0</v>
      </c>
      <c r="U23" s="167">
        <f>SP!U9</f>
        <v>0</v>
      </c>
      <c r="V23" s="167">
        <f>SP!V9</f>
        <v>0</v>
      </c>
      <c r="W23" s="167">
        <f>SP!W9</f>
        <v>0</v>
      </c>
      <c r="X23" s="167">
        <f>SP!X9</f>
        <v>0</v>
      </c>
      <c r="Y23" s="167">
        <f>SP!Y9</f>
        <v>0</v>
      </c>
      <c r="Z23" s="167">
        <f>SP!Z9</f>
        <v>0</v>
      </c>
      <c r="AA23" s="167">
        <f>SP!AA9</f>
        <v>0</v>
      </c>
      <c r="AB23" s="167">
        <f>SP!AB9</f>
        <v>0</v>
      </c>
      <c r="AC23" s="167">
        <f>SP!AC9</f>
        <v>0</v>
      </c>
      <c r="AD23" s="167">
        <f>SP!AD9</f>
        <v>0</v>
      </c>
      <c r="AE23" s="167">
        <f>SP!AE9</f>
        <v>0</v>
      </c>
      <c r="AF23" s="167">
        <f>SP!AF9</f>
        <v>0</v>
      </c>
      <c r="AG23" s="168">
        <f>SP!AG9</f>
        <v>0</v>
      </c>
      <c r="AH23" s="166"/>
      <c r="AI23" s="258"/>
    </row>
    <row r="24" spans="1:35" ht="18" hidden="1" customHeight="1" outlineLevel="2">
      <c r="A24" s="166" t="s">
        <v>34</v>
      </c>
      <c r="B24" s="167">
        <f>SP!B10</f>
        <v>0</v>
      </c>
      <c r="C24" s="23">
        <f>SP!C10</f>
        <v>0</v>
      </c>
      <c r="D24" s="167">
        <f>SP!D10</f>
        <v>0</v>
      </c>
      <c r="E24" s="167">
        <f>SP!E10</f>
        <v>0</v>
      </c>
      <c r="F24" s="167">
        <f>SP!F10</f>
        <v>0</v>
      </c>
      <c r="G24" s="167">
        <f>SP!G10</f>
        <v>0</v>
      </c>
      <c r="H24" s="167">
        <f>SP!H10</f>
        <v>0</v>
      </c>
      <c r="I24" s="167">
        <f>SP!I10</f>
        <v>0</v>
      </c>
      <c r="J24" s="167">
        <f>SP!J10</f>
        <v>0</v>
      </c>
      <c r="K24" s="167">
        <f>SP!K10</f>
        <v>0</v>
      </c>
      <c r="L24" s="167">
        <f>SP!L10</f>
        <v>0</v>
      </c>
      <c r="M24" s="167">
        <f>SP!M10</f>
        <v>0</v>
      </c>
      <c r="N24" s="167">
        <f>SP!N10</f>
        <v>0</v>
      </c>
      <c r="O24" s="167">
        <f>SP!O10</f>
        <v>0</v>
      </c>
      <c r="P24" s="167">
        <f>SP!P10</f>
        <v>0</v>
      </c>
      <c r="Q24" s="167">
        <f>SP!Q10</f>
        <v>0</v>
      </c>
      <c r="R24" s="167">
        <f>SP!R10</f>
        <v>0</v>
      </c>
      <c r="S24" s="167">
        <f>SP!S10</f>
        <v>0</v>
      </c>
      <c r="T24" s="167">
        <f>SP!T10</f>
        <v>0</v>
      </c>
      <c r="U24" s="167">
        <f>SP!U10</f>
        <v>0</v>
      </c>
      <c r="V24" s="167">
        <f>SP!V10</f>
        <v>0</v>
      </c>
      <c r="W24" s="167">
        <f>SP!W10</f>
        <v>0</v>
      </c>
      <c r="X24" s="167">
        <f>SP!X10</f>
        <v>0</v>
      </c>
      <c r="Y24" s="167">
        <f>SP!Y10</f>
        <v>0</v>
      </c>
      <c r="Z24" s="167">
        <f>SP!Z10</f>
        <v>0</v>
      </c>
      <c r="AA24" s="167">
        <f>SP!AA10</f>
        <v>0</v>
      </c>
      <c r="AB24" s="167">
        <f>SP!AB10</f>
        <v>0</v>
      </c>
      <c r="AC24" s="167">
        <f>SP!AC10</f>
        <v>0</v>
      </c>
      <c r="AD24" s="167">
        <f>SP!AD10</f>
        <v>0</v>
      </c>
      <c r="AE24" s="167">
        <f>SP!AE10</f>
        <v>0</v>
      </c>
      <c r="AF24" s="167">
        <f>SP!AF10</f>
        <v>0</v>
      </c>
      <c r="AG24" s="168">
        <f>SP!AG10</f>
        <v>0</v>
      </c>
      <c r="AH24" s="166"/>
      <c r="AI24" s="258"/>
    </row>
    <row r="25" spans="1:35" ht="18" hidden="1" customHeight="1" outlineLevel="2">
      <c r="A25" s="166" t="s">
        <v>35</v>
      </c>
      <c r="B25" s="167">
        <f>SP!B21</f>
        <v>0</v>
      </c>
      <c r="C25" s="23">
        <f>SP!C21</f>
        <v>0</v>
      </c>
      <c r="D25" s="167">
        <f>SP!D21</f>
        <v>0</v>
      </c>
      <c r="E25" s="167">
        <f>SP!E21</f>
        <v>0</v>
      </c>
      <c r="F25" s="167">
        <f>SP!F21</f>
        <v>0</v>
      </c>
      <c r="G25" s="167">
        <f>SP!G21</f>
        <v>0</v>
      </c>
      <c r="H25" s="167">
        <f>SP!H21</f>
        <v>0</v>
      </c>
      <c r="I25" s="167">
        <f>SP!I21</f>
        <v>0</v>
      </c>
      <c r="J25" s="167">
        <f>SP!J21</f>
        <v>0</v>
      </c>
      <c r="K25" s="167">
        <f>SP!K21</f>
        <v>0</v>
      </c>
      <c r="L25" s="167">
        <f>SP!L21</f>
        <v>0</v>
      </c>
      <c r="M25" s="167">
        <f>SP!M21</f>
        <v>0</v>
      </c>
      <c r="N25" s="167">
        <f>SP!N21</f>
        <v>0</v>
      </c>
      <c r="O25" s="167">
        <f>SP!O21</f>
        <v>0</v>
      </c>
      <c r="P25" s="167">
        <f>SP!P21</f>
        <v>0</v>
      </c>
      <c r="Q25" s="167">
        <f>SP!Q21</f>
        <v>0</v>
      </c>
      <c r="R25" s="167">
        <f>SP!R21</f>
        <v>0</v>
      </c>
      <c r="S25" s="167">
        <f>SP!S21</f>
        <v>0</v>
      </c>
      <c r="T25" s="167">
        <f>SP!T21</f>
        <v>0</v>
      </c>
      <c r="U25" s="167">
        <f>SP!U21</f>
        <v>0</v>
      </c>
      <c r="V25" s="167">
        <f>SP!V21</f>
        <v>0</v>
      </c>
      <c r="W25" s="167">
        <f>SP!W21</f>
        <v>0</v>
      </c>
      <c r="X25" s="167">
        <f>SP!X21</f>
        <v>0</v>
      </c>
      <c r="Y25" s="167">
        <f>SP!Y21</f>
        <v>0</v>
      </c>
      <c r="Z25" s="167">
        <f>SP!Z21</f>
        <v>0</v>
      </c>
      <c r="AA25" s="167">
        <f>SP!AA21</f>
        <v>0</v>
      </c>
      <c r="AB25" s="167">
        <f>SP!AB21</f>
        <v>0</v>
      </c>
      <c r="AC25" s="167">
        <f>SP!AC21</f>
        <v>0</v>
      </c>
      <c r="AD25" s="167">
        <f>SP!AD21</f>
        <v>0</v>
      </c>
      <c r="AE25" s="167">
        <f>SP!AE21</f>
        <v>0</v>
      </c>
      <c r="AF25" s="167">
        <f>SP!AF21</f>
        <v>0</v>
      </c>
      <c r="AG25" s="168">
        <f>SP!AG21</f>
        <v>0</v>
      </c>
      <c r="AH25" s="166"/>
      <c r="AI25" s="258"/>
    </row>
    <row r="26" spans="1:35" ht="18" hidden="1" customHeight="1" outlineLevel="2">
      <c r="A26" s="166" t="s">
        <v>25</v>
      </c>
      <c r="B26" s="167">
        <f>SP!B23</f>
        <v>0</v>
      </c>
      <c r="C26" s="23">
        <f>SP!C23</f>
        <v>0</v>
      </c>
      <c r="D26" s="167">
        <f>SP!D23</f>
        <v>0</v>
      </c>
      <c r="E26" s="167">
        <f>SP!E23</f>
        <v>0</v>
      </c>
      <c r="F26" s="167">
        <f>SP!F23</f>
        <v>0</v>
      </c>
      <c r="G26" s="167">
        <f>SP!G23</f>
        <v>0</v>
      </c>
      <c r="H26" s="167">
        <f>SP!H23</f>
        <v>0</v>
      </c>
      <c r="I26" s="167">
        <f>SP!I23</f>
        <v>0</v>
      </c>
      <c r="J26" s="167">
        <f>SP!J23</f>
        <v>0</v>
      </c>
      <c r="K26" s="167">
        <f>SP!K23</f>
        <v>0</v>
      </c>
      <c r="L26" s="167">
        <f>SP!L23</f>
        <v>0</v>
      </c>
      <c r="M26" s="167">
        <f>SP!M23</f>
        <v>0</v>
      </c>
      <c r="N26" s="167">
        <f>SP!N23</f>
        <v>0</v>
      </c>
      <c r="O26" s="167">
        <f>SP!O23</f>
        <v>0</v>
      </c>
      <c r="P26" s="167">
        <f>SP!P23</f>
        <v>0</v>
      </c>
      <c r="Q26" s="167">
        <f>SP!Q23</f>
        <v>0</v>
      </c>
      <c r="R26" s="167">
        <f>SP!R23</f>
        <v>0</v>
      </c>
      <c r="S26" s="167">
        <f>SP!S23</f>
        <v>0</v>
      </c>
      <c r="T26" s="167">
        <f>SP!T23</f>
        <v>0</v>
      </c>
      <c r="U26" s="167">
        <f>SP!U23</f>
        <v>0</v>
      </c>
      <c r="V26" s="167">
        <f>SP!V23</f>
        <v>0</v>
      </c>
      <c r="W26" s="167">
        <f>SP!W23</f>
        <v>0</v>
      </c>
      <c r="X26" s="167">
        <f>SP!X23</f>
        <v>0</v>
      </c>
      <c r="Y26" s="167">
        <f>SP!Y23</f>
        <v>0</v>
      </c>
      <c r="Z26" s="167">
        <f>SP!Z23</f>
        <v>0</v>
      </c>
      <c r="AA26" s="167">
        <f>SP!AA23</f>
        <v>0</v>
      </c>
      <c r="AB26" s="167">
        <f>SP!AB23</f>
        <v>0</v>
      </c>
      <c r="AC26" s="167">
        <f>SP!AC23</f>
        <v>0</v>
      </c>
      <c r="AD26" s="167">
        <f>SP!AD23</f>
        <v>0</v>
      </c>
      <c r="AE26" s="167">
        <f>SP!AE23</f>
        <v>0</v>
      </c>
      <c r="AF26" s="167">
        <f>SP!AF23</f>
        <v>0</v>
      </c>
      <c r="AG26" s="168">
        <f>SP!AG23</f>
        <v>0</v>
      </c>
      <c r="AH26" s="166"/>
      <c r="AI26" s="258"/>
    </row>
    <row r="27" spans="1:35" ht="18" customHeight="1" outlineLevel="1" collapsed="1">
      <c r="A27" s="166" t="s">
        <v>15</v>
      </c>
      <c r="B27" s="167">
        <f>SP!B24</f>
        <v>0</v>
      </c>
      <c r="C27" s="23">
        <f>SP!C24</f>
        <v>18065.353333333336</v>
      </c>
      <c r="D27" s="167">
        <f>SP!D24</f>
        <v>18372.464339999999</v>
      </c>
      <c r="E27" s="167">
        <f>SP!E24</f>
        <v>18684.796233779995</v>
      </c>
      <c r="F27" s="167">
        <f>SP!F24</f>
        <v>15575.768663732995</v>
      </c>
      <c r="G27" s="167">
        <f>SP!G24</f>
        <v>15840.556731016452</v>
      </c>
      <c r="H27" s="167">
        <f>SP!H24</f>
        <v>16109.846195443732</v>
      </c>
      <c r="I27" s="167">
        <f>SP!I24</f>
        <v>16383.713580766271</v>
      </c>
      <c r="J27" s="167">
        <f>SP!J24</f>
        <v>16662.236711639296</v>
      </c>
      <c r="K27" s="167">
        <f>SP!K24</f>
        <v>16945.49473573716</v>
      </c>
      <c r="L27" s="167">
        <f>SP!L24</f>
        <v>17233.568146244696</v>
      </c>
      <c r="M27" s="167">
        <f>SP!M24</f>
        <v>17526.538804730848</v>
      </c>
      <c r="N27" s="167">
        <f>SP!N24</f>
        <v>17824.489964411274</v>
      </c>
      <c r="O27" s="167">
        <f>SP!O24</f>
        <v>18127.506293806262</v>
      </c>
      <c r="P27" s="167">
        <f>SP!P24</f>
        <v>18435.673900800972</v>
      </c>
      <c r="Q27" s="167">
        <f>SP!Q24</f>
        <v>18749.080357114588</v>
      </c>
      <c r="R27" s="167">
        <f>SP!R24</f>
        <v>19067.814723185529</v>
      </c>
      <c r="S27" s="167">
        <f>SP!S24</f>
        <v>19391.967573479684</v>
      </c>
      <c r="T27" s="167">
        <f>SP!T24</f>
        <v>19721.631022228834</v>
      </c>
      <c r="U27" s="167">
        <f>SP!U24</f>
        <v>20056.89874960672</v>
      </c>
      <c r="V27" s="167">
        <f>SP!V24</f>
        <v>20397.866028350036</v>
      </c>
      <c r="W27" s="167">
        <f>SP!W24</f>
        <v>24893.555700998379</v>
      </c>
      <c r="X27" s="167">
        <f>SP!X24</f>
        <v>25316.746147915354</v>
      </c>
      <c r="Y27" s="167">
        <f>SP!Y24</f>
        <v>25747.130832429913</v>
      </c>
      <c r="Z27" s="167">
        <f>SP!Z24</f>
        <v>26184.832056581214</v>
      </c>
      <c r="AA27" s="167">
        <f>SP!AA24</f>
        <v>26629.974201543093</v>
      </c>
      <c r="AB27" s="167">
        <f>SP!AB24</f>
        <v>27082.683762969329</v>
      </c>
      <c r="AC27" s="167">
        <f>SP!AC24</f>
        <v>27543.089386939806</v>
      </c>
      <c r="AD27" s="167">
        <f>SP!AD24</f>
        <v>28011.32190651778</v>
      </c>
      <c r="AE27" s="167">
        <f>SP!AE24</f>
        <v>28487.514378928576</v>
      </c>
      <c r="AF27" s="167">
        <f>SP!AF24</f>
        <v>28971.802123370366</v>
      </c>
      <c r="AG27" s="168">
        <f>SP!AG24</f>
        <v>29464.322759467661</v>
      </c>
      <c r="AH27" s="166"/>
      <c r="AI27" s="258"/>
    </row>
    <row r="28" spans="1:35" ht="18" customHeight="1" outlineLevel="1">
      <c r="A28" s="166" t="s">
        <v>129</v>
      </c>
      <c r="B28" s="167">
        <f>SP!B25</f>
        <v>0</v>
      </c>
      <c r="C28" s="23">
        <f>SP!C25</f>
        <v>0</v>
      </c>
      <c r="D28" s="167">
        <f>SP!D25</f>
        <v>0</v>
      </c>
      <c r="E28" s="167">
        <f>SP!E25</f>
        <v>0</v>
      </c>
      <c r="F28" s="167">
        <f>SP!F25</f>
        <v>0</v>
      </c>
      <c r="G28" s="167">
        <f>SP!G25</f>
        <v>0</v>
      </c>
      <c r="H28" s="167">
        <f ca="1">SP!H25</f>
        <v>27437.497661113019</v>
      </c>
      <c r="I28" s="167">
        <f>SP!I25</f>
        <v>0</v>
      </c>
      <c r="J28" s="167">
        <f>SP!J25</f>
        <v>0</v>
      </c>
      <c r="K28" s="167">
        <f>SP!K25</f>
        <v>0</v>
      </c>
      <c r="L28" s="167">
        <f>SP!L25</f>
        <v>0</v>
      </c>
      <c r="M28" s="167">
        <f ca="1">SP!M25</f>
        <v>45551.212903002881</v>
      </c>
      <c r="N28" s="167">
        <f>SP!N25</f>
        <v>0</v>
      </c>
      <c r="O28" s="167">
        <f>SP!O25</f>
        <v>0</v>
      </c>
      <c r="P28" s="167">
        <f>SP!P25</f>
        <v>0</v>
      </c>
      <c r="Q28" s="167">
        <f>SP!Q25</f>
        <v>0</v>
      </c>
      <c r="R28" s="167">
        <f ca="1">SP!R25</f>
        <v>60024.215404028888</v>
      </c>
      <c r="S28" s="167">
        <f>SP!S25</f>
        <v>0</v>
      </c>
      <c r="T28" s="167">
        <f>SP!T25</f>
        <v>0</v>
      </c>
      <c r="U28" s="167">
        <f>SP!U25</f>
        <v>0</v>
      </c>
      <c r="V28" s="167">
        <f>SP!V25</f>
        <v>0</v>
      </c>
      <c r="W28" s="167">
        <f ca="1">SP!W25</f>
        <v>72280.884091097192</v>
      </c>
      <c r="X28" s="167">
        <f>SP!X25</f>
        <v>0</v>
      </c>
      <c r="Y28" s="167">
        <f>SP!Y25</f>
        <v>0</v>
      </c>
      <c r="Z28" s="167">
        <f>SP!Z25</f>
        <v>0</v>
      </c>
      <c r="AA28" s="167">
        <f>SP!AA25</f>
        <v>0</v>
      </c>
      <c r="AB28" s="167">
        <f ca="1">SP!AB25</f>
        <v>83289.343277097651</v>
      </c>
      <c r="AC28" s="167">
        <f>SP!AC25</f>
        <v>0</v>
      </c>
      <c r="AD28" s="167">
        <f>SP!AD25</f>
        <v>0</v>
      </c>
      <c r="AE28" s="167">
        <f>SP!AE25</f>
        <v>0</v>
      </c>
      <c r="AF28" s="167">
        <f>SP!AF25</f>
        <v>0</v>
      </c>
      <c r="AG28" s="168">
        <f>SP!AG25</f>
        <v>0</v>
      </c>
      <c r="AH28" s="166"/>
      <c r="AI28" s="258"/>
    </row>
    <row r="29" spans="1:35" ht="6" customHeight="1">
      <c r="A29" s="169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70"/>
      <c r="AH29" s="166"/>
      <c r="AI29" s="258"/>
    </row>
    <row r="30" spans="1:35" ht="17.25" customHeight="1" outlineLevel="1">
      <c r="A30" s="171" t="s">
        <v>79</v>
      </c>
      <c r="B30" s="22"/>
      <c r="C30" s="278">
        <f t="shared" ref="C30:V30" si="10">C31+C32+C33-C34-C35-C36-C37</f>
        <v>-17198.686666666668</v>
      </c>
      <c r="D30" s="172">
        <f t="shared" si="10"/>
        <v>-1173.7776733333289</v>
      </c>
      <c r="E30" s="172">
        <f t="shared" si="10"/>
        <v>-312.33189377999588</v>
      </c>
      <c r="F30" s="172">
        <f t="shared" si="10"/>
        <v>3109.0275700469992</v>
      </c>
      <c r="G30" s="172">
        <f t="shared" si="10"/>
        <v>-264.78806728345626</v>
      </c>
      <c r="H30" s="172">
        <f t="shared" si="10"/>
        <v>-269.28946442728011</v>
      </c>
      <c r="I30" s="172">
        <f t="shared" ca="1" si="10"/>
        <v>27163.630275790478</v>
      </c>
      <c r="J30" s="172">
        <f t="shared" si="10"/>
        <v>-278.52313087302537</v>
      </c>
      <c r="K30" s="172">
        <f t="shared" si="10"/>
        <v>-283.25802409786411</v>
      </c>
      <c r="L30" s="172">
        <f t="shared" si="10"/>
        <v>-288.0734105075353</v>
      </c>
      <c r="M30" s="172">
        <f t="shared" si="10"/>
        <v>-292.97065848615239</v>
      </c>
      <c r="N30" s="172">
        <f t="shared" ca="1" si="10"/>
        <v>45253.261743322451</v>
      </c>
      <c r="O30" s="172">
        <f t="shared" si="10"/>
        <v>-303.01632939498813</v>
      </c>
      <c r="P30" s="172">
        <f t="shared" si="10"/>
        <v>-308.16760699470979</v>
      </c>
      <c r="Q30" s="172">
        <f t="shared" si="10"/>
        <v>-313.40645631361622</v>
      </c>
      <c r="R30" s="172">
        <f t="shared" si="10"/>
        <v>-318.73436607094118</v>
      </c>
      <c r="S30" s="172">
        <f t="shared" ca="1" si="10"/>
        <v>59700.062553734708</v>
      </c>
      <c r="T30" s="172">
        <f t="shared" si="10"/>
        <v>-329.66344874915012</v>
      </c>
      <c r="U30" s="172">
        <f t="shared" si="10"/>
        <v>-335.26772737788633</v>
      </c>
      <c r="V30" s="172">
        <f t="shared" si="10"/>
        <v>-340.96727874331555</v>
      </c>
      <c r="W30" s="172">
        <f t="shared" ref="W30:AG30" si="11">W31+W32+W33-W34-W35-W36-W37</f>
        <v>-4495.6896726483428</v>
      </c>
      <c r="X30" s="172">
        <f t="shared" ca="1" si="11"/>
        <v>71857.693644180137</v>
      </c>
      <c r="Y30" s="172">
        <f t="shared" si="11"/>
        <v>-430.38468451455992</v>
      </c>
      <c r="Z30" s="172">
        <f t="shared" si="11"/>
        <v>-437.70122415130027</v>
      </c>
      <c r="AA30" s="172">
        <f t="shared" si="11"/>
        <v>-445.14214496187924</v>
      </c>
      <c r="AB30" s="172">
        <f t="shared" si="11"/>
        <v>-452.70956142623618</v>
      </c>
      <c r="AC30" s="172">
        <f t="shared" ca="1" si="11"/>
        <v>82828.937653127025</v>
      </c>
      <c r="AD30" s="172">
        <f t="shared" si="11"/>
        <v>-468.23251957797402</v>
      </c>
      <c r="AE30" s="172">
        <f t="shared" si="11"/>
        <v>-476.19247241079574</v>
      </c>
      <c r="AF30" s="172">
        <f t="shared" si="11"/>
        <v>-484.28774444178998</v>
      </c>
      <c r="AG30" s="173">
        <f t="shared" si="11"/>
        <v>-492.52063609729521</v>
      </c>
      <c r="AH30" s="166"/>
      <c r="AI30" s="258"/>
    </row>
    <row r="31" spans="1:35" ht="17.25" customHeight="1" outlineLevel="1">
      <c r="A31" s="166" t="s">
        <v>8</v>
      </c>
      <c r="B31" s="21"/>
      <c r="C31" s="15">
        <f t="shared" ref="C31:V31" si="12">C22-B22</f>
        <v>866.66666666666663</v>
      </c>
      <c r="D31" s="15">
        <f t="shared" si="12"/>
        <v>-866.66666666666663</v>
      </c>
      <c r="E31" s="15">
        <f t="shared" si="12"/>
        <v>0</v>
      </c>
      <c r="F31" s="15">
        <f t="shared" si="12"/>
        <v>0</v>
      </c>
      <c r="G31" s="15">
        <f t="shared" si="12"/>
        <v>0</v>
      </c>
      <c r="H31" s="15">
        <f t="shared" si="12"/>
        <v>0</v>
      </c>
      <c r="I31" s="15">
        <f t="shared" si="12"/>
        <v>0</v>
      </c>
      <c r="J31" s="15">
        <f t="shared" si="12"/>
        <v>0</v>
      </c>
      <c r="K31" s="15">
        <f t="shared" si="12"/>
        <v>0</v>
      </c>
      <c r="L31" s="15">
        <f t="shared" si="12"/>
        <v>0</v>
      </c>
      <c r="M31" s="15">
        <f t="shared" si="12"/>
        <v>0</v>
      </c>
      <c r="N31" s="15">
        <f t="shared" si="12"/>
        <v>0</v>
      </c>
      <c r="O31" s="15">
        <f t="shared" si="12"/>
        <v>0</v>
      </c>
      <c r="P31" s="15">
        <f t="shared" si="12"/>
        <v>0</v>
      </c>
      <c r="Q31" s="15">
        <f t="shared" si="12"/>
        <v>0</v>
      </c>
      <c r="R31" s="15">
        <f t="shared" si="12"/>
        <v>0</v>
      </c>
      <c r="S31" s="15">
        <f t="shared" si="12"/>
        <v>0</v>
      </c>
      <c r="T31" s="15">
        <f t="shared" si="12"/>
        <v>0</v>
      </c>
      <c r="U31" s="15">
        <f t="shared" si="12"/>
        <v>0</v>
      </c>
      <c r="V31" s="15">
        <f t="shared" si="12"/>
        <v>0</v>
      </c>
      <c r="W31" s="15">
        <f t="shared" ref="W31:W36" si="13">W22-V22</f>
        <v>0</v>
      </c>
      <c r="X31" s="15">
        <f t="shared" ref="X31:X36" si="14">X22-W22</f>
        <v>0</v>
      </c>
      <c r="Y31" s="15">
        <f t="shared" ref="Y31:Y36" si="15">Y22-X22</f>
        <v>0</v>
      </c>
      <c r="Z31" s="15">
        <f t="shared" ref="Z31:Z36" si="16">Z22-Y22</f>
        <v>0</v>
      </c>
      <c r="AA31" s="15">
        <f t="shared" ref="AA31:AA36" si="17">AA22-Z22</f>
        <v>0</v>
      </c>
      <c r="AB31" s="15">
        <f t="shared" ref="AB31:AB36" si="18">AB22-AA22</f>
        <v>0</v>
      </c>
      <c r="AC31" s="15">
        <f t="shared" ref="AC31:AC36" si="19">AC22-AB22</f>
        <v>0</v>
      </c>
      <c r="AD31" s="15">
        <f t="shared" ref="AD31:AD36" si="20">AD22-AC22</f>
        <v>0</v>
      </c>
      <c r="AE31" s="15">
        <f t="shared" ref="AE31:AE36" si="21">AE22-AD22</f>
        <v>0</v>
      </c>
      <c r="AF31" s="15">
        <f t="shared" ref="AF31:AF36" si="22">AF22-AE22</f>
        <v>0</v>
      </c>
      <c r="AG31" s="170">
        <f t="shared" ref="AG31:AG36" si="23">AG22-AF22</f>
        <v>0</v>
      </c>
      <c r="AH31" s="166"/>
      <c r="AI31" s="258"/>
    </row>
    <row r="32" spans="1:35" ht="17.25" hidden="1" customHeight="1" outlineLevel="2">
      <c r="A32" s="166" t="s">
        <v>92</v>
      </c>
      <c r="B32" s="21"/>
      <c r="C32" s="15">
        <f t="shared" ref="C32:V32" si="24">C23-B23</f>
        <v>0</v>
      </c>
      <c r="D32" s="15">
        <f t="shared" si="24"/>
        <v>0</v>
      </c>
      <c r="E32" s="15">
        <f t="shared" si="24"/>
        <v>0</v>
      </c>
      <c r="F32" s="15">
        <f t="shared" si="24"/>
        <v>0</v>
      </c>
      <c r="G32" s="15">
        <f t="shared" si="24"/>
        <v>0</v>
      </c>
      <c r="H32" s="15">
        <f t="shared" si="24"/>
        <v>0</v>
      </c>
      <c r="I32" s="15">
        <f t="shared" si="24"/>
        <v>0</v>
      </c>
      <c r="J32" s="15">
        <f t="shared" si="24"/>
        <v>0</v>
      </c>
      <c r="K32" s="15">
        <f t="shared" si="24"/>
        <v>0</v>
      </c>
      <c r="L32" s="15">
        <f t="shared" si="24"/>
        <v>0</v>
      </c>
      <c r="M32" s="15">
        <f t="shared" si="24"/>
        <v>0</v>
      </c>
      <c r="N32" s="15">
        <f t="shared" si="24"/>
        <v>0</v>
      </c>
      <c r="O32" s="15">
        <f t="shared" si="24"/>
        <v>0</v>
      </c>
      <c r="P32" s="15">
        <f t="shared" si="24"/>
        <v>0</v>
      </c>
      <c r="Q32" s="15">
        <f t="shared" si="24"/>
        <v>0</v>
      </c>
      <c r="R32" s="15">
        <f t="shared" si="24"/>
        <v>0</v>
      </c>
      <c r="S32" s="15">
        <f t="shared" si="24"/>
        <v>0</v>
      </c>
      <c r="T32" s="15">
        <f t="shared" si="24"/>
        <v>0</v>
      </c>
      <c r="U32" s="15">
        <f t="shared" si="24"/>
        <v>0</v>
      </c>
      <c r="V32" s="15">
        <f t="shared" si="24"/>
        <v>0</v>
      </c>
      <c r="W32" s="15">
        <f t="shared" si="13"/>
        <v>0</v>
      </c>
      <c r="X32" s="15">
        <f t="shared" si="14"/>
        <v>0</v>
      </c>
      <c r="Y32" s="15">
        <f t="shared" si="15"/>
        <v>0</v>
      </c>
      <c r="Z32" s="15">
        <f t="shared" si="16"/>
        <v>0</v>
      </c>
      <c r="AA32" s="15">
        <f t="shared" si="17"/>
        <v>0</v>
      </c>
      <c r="AB32" s="15">
        <f t="shared" si="18"/>
        <v>0</v>
      </c>
      <c r="AC32" s="15">
        <f t="shared" si="19"/>
        <v>0</v>
      </c>
      <c r="AD32" s="15">
        <f t="shared" si="20"/>
        <v>0</v>
      </c>
      <c r="AE32" s="15">
        <f t="shared" si="21"/>
        <v>0</v>
      </c>
      <c r="AF32" s="15">
        <f t="shared" si="22"/>
        <v>0</v>
      </c>
      <c r="AG32" s="170">
        <f t="shared" si="23"/>
        <v>0</v>
      </c>
      <c r="AH32" s="166"/>
      <c r="AI32" s="258"/>
    </row>
    <row r="33" spans="1:35" ht="17.25" hidden="1" customHeight="1" outlineLevel="2">
      <c r="A33" s="166" t="s">
        <v>34</v>
      </c>
      <c r="B33" s="21"/>
      <c r="C33" s="15">
        <f t="shared" ref="C33:V33" si="25">C24-B24</f>
        <v>0</v>
      </c>
      <c r="D33" s="15">
        <f t="shared" si="25"/>
        <v>0</v>
      </c>
      <c r="E33" s="15">
        <f t="shared" si="25"/>
        <v>0</v>
      </c>
      <c r="F33" s="15">
        <f t="shared" si="25"/>
        <v>0</v>
      </c>
      <c r="G33" s="15">
        <f t="shared" si="25"/>
        <v>0</v>
      </c>
      <c r="H33" s="15">
        <f t="shared" si="25"/>
        <v>0</v>
      </c>
      <c r="I33" s="15">
        <f t="shared" si="25"/>
        <v>0</v>
      </c>
      <c r="J33" s="15">
        <f t="shared" si="25"/>
        <v>0</v>
      </c>
      <c r="K33" s="15">
        <f t="shared" si="25"/>
        <v>0</v>
      </c>
      <c r="L33" s="15">
        <f t="shared" si="25"/>
        <v>0</v>
      </c>
      <c r="M33" s="15">
        <f t="shared" si="25"/>
        <v>0</v>
      </c>
      <c r="N33" s="15">
        <f t="shared" si="25"/>
        <v>0</v>
      </c>
      <c r="O33" s="15">
        <f t="shared" si="25"/>
        <v>0</v>
      </c>
      <c r="P33" s="15">
        <f t="shared" si="25"/>
        <v>0</v>
      </c>
      <c r="Q33" s="15">
        <f t="shared" si="25"/>
        <v>0</v>
      </c>
      <c r="R33" s="15">
        <f t="shared" si="25"/>
        <v>0</v>
      </c>
      <c r="S33" s="15">
        <f t="shared" si="25"/>
        <v>0</v>
      </c>
      <c r="T33" s="15">
        <f t="shared" si="25"/>
        <v>0</v>
      </c>
      <c r="U33" s="15">
        <f t="shared" si="25"/>
        <v>0</v>
      </c>
      <c r="V33" s="15">
        <f t="shared" si="25"/>
        <v>0</v>
      </c>
      <c r="W33" s="15">
        <f t="shared" si="13"/>
        <v>0</v>
      </c>
      <c r="X33" s="15">
        <f t="shared" si="14"/>
        <v>0</v>
      </c>
      <c r="Y33" s="15">
        <f t="shared" si="15"/>
        <v>0</v>
      </c>
      <c r="Z33" s="15">
        <f t="shared" si="16"/>
        <v>0</v>
      </c>
      <c r="AA33" s="15">
        <f t="shared" si="17"/>
        <v>0</v>
      </c>
      <c r="AB33" s="15">
        <f t="shared" si="18"/>
        <v>0</v>
      </c>
      <c r="AC33" s="15">
        <f t="shared" si="19"/>
        <v>0</v>
      </c>
      <c r="AD33" s="15">
        <f t="shared" si="20"/>
        <v>0</v>
      </c>
      <c r="AE33" s="15">
        <f t="shared" si="21"/>
        <v>0</v>
      </c>
      <c r="AF33" s="15">
        <f t="shared" si="22"/>
        <v>0</v>
      </c>
      <c r="AG33" s="170">
        <f t="shared" si="23"/>
        <v>0</v>
      </c>
      <c r="AH33" s="166"/>
      <c r="AI33" s="258"/>
    </row>
    <row r="34" spans="1:35" ht="17.25" hidden="1" customHeight="1" outlineLevel="2">
      <c r="A34" s="166" t="s">
        <v>35</v>
      </c>
      <c r="B34" s="21"/>
      <c r="C34" s="15">
        <f t="shared" ref="C34:V34" si="26">C25-B25</f>
        <v>0</v>
      </c>
      <c r="D34" s="15">
        <f t="shared" si="26"/>
        <v>0</v>
      </c>
      <c r="E34" s="15">
        <f t="shared" si="26"/>
        <v>0</v>
      </c>
      <c r="F34" s="15">
        <f t="shared" si="26"/>
        <v>0</v>
      </c>
      <c r="G34" s="15">
        <f t="shared" si="26"/>
        <v>0</v>
      </c>
      <c r="H34" s="15">
        <f t="shared" si="26"/>
        <v>0</v>
      </c>
      <c r="I34" s="15">
        <f t="shared" si="26"/>
        <v>0</v>
      </c>
      <c r="J34" s="15">
        <f t="shared" si="26"/>
        <v>0</v>
      </c>
      <c r="K34" s="15">
        <f t="shared" si="26"/>
        <v>0</v>
      </c>
      <c r="L34" s="15">
        <f t="shared" si="26"/>
        <v>0</v>
      </c>
      <c r="M34" s="15">
        <f t="shared" si="26"/>
        <v>0</v>
      </c>
      <c r="N34" s="15">
        <f t="shared" si="26"/>
        <v>0</v>
      </c>
      <c r="O34" s="15">
        <f t="shared" si="26"/>
        <v>0</v>
      </c>
      <c r="P34" s="15">
        <f t="shared" si="26"/>
        <v>0</v>
      </c>
      <c r="Q34" s="15">
        <f t="shared" si="26"/>
        <v>0</v>
      </c>
      <c r="R34" s="15">
        <f t="shared" si="26"/>
        <v>0</v>
      </c>
      <c r="S34" s="15">
        <f t="shared" si="26"/>
        <v>0</v>
      </c>
      <c r="T34" s="15">
        <f t="shared" si="26"/>
        <v>0</v>
      </c>
      <c r="U34" s="15">
        <f t="shared" si="26"/>
        <v>0</v>
      </c>
      <c r="V34" s="15">
        <f t="shared" si="26"/>
        <v>0</v>
      </c>
      <c r="W34" s="15">
        <f t="shared" si="13"/>
        <v>0</v>
      </c>
      <c r="X34" s="15">
        <f t="shared" si="14"/>
        <v>0</v>
      </c>
      <c r="Y34" s="15">
        <f t="shared" si="15"/>
        <v>0</v>
      </c>
      <c r="Z34" s="15">
        <f t="shared" si="16"/>
        <v>0</v>
      </c>
      <c r="AA34" s="15">
        <f t="shared" si="17"/>
        <v>0</v>
      </c>
      <c r="AB34" s="15">
        <f t="shared" si="18"/>
        <v>0</v>
      </c>
      <c r="AC34" s="15">
        <f t="shared" si="19"/>
        <v>0</v>
      </c>
      <c r="AD34" s="15">
        <f t="shared" si="20"/>
        <v>0</v>
      </c>
      <c r="AE34" s="15">
        <f t="shared" si="21"/>
        <v>0</v>
      </c>
      <c r="AF34" s="15">
        <f t="shared" si="22"/>
        <v>0</v>
      </c>
      <c r="AG34" s="170">
        <f t="shared" si="23"/>
        <v>0</v>
      </c>
      <c r="AH34" s="166"/>
    </row>
    <row r="35" spans="1:35" ht="17.25" hidden="1" customHeight="1" outlineLevel="2">
      <c r="A35" s="166" t="s">
        <v>25</v>
      </c>
      <c r="B35" s="21"/>
      <c r="C35" s="15">
        <f t="shared" ref="C35:V35" si="27">C26-B26</f>
        <v>0</v>
      </c>
      <c r="D35" s="15">
        <f t="shared" si="27"/>
        <v>0</v>
      </c>
      <c r="E35" s="15">
        <f t="shared" si="27"/>
        <v>0</v>
      </c>
      <c r="F35" s="15">
        <f t="shared" si="27"/>
        <v>0</v>
      </c>
      <c r="G35" s="15">
        <f t="shared" si="27"/>
        <v>0</v>
      </c>
      <c r="H35" s="15">
        <f t="shared" si="27"/>
        <v>0</v>
      </c>
      <c r="I35" s="15">
        <f t="shared" si="27"/>
        <v>0</v>
      </c>
      <c r="J35" s="15">
        <f t="shared" si="27"/>
        <v>0</v>
      </c>
      <c r="K35" s="15">
        <f t="shared" si="27"/>
        <v>0</v>
      </c>
      <c r="L35" s="15">
        <f t="shared" si="27"/>
        <v>0</v>
      </c>
      <c r="M35" s="15">
        <f t="shared" si="27"/>
        <v>0</v>
      </c>
      <c r="N35" s="15">
        <f t="shared" si="27"/>
        <v>0</v>
      </c>
      <c r="O35" s="15">
        <f t="shared" si="27"/>
        <v>0</v>
      </c>
      <c r="P35" s="15">
        <f t="shared" si="27"/>
        <v>0</v>
      </c>
      <c r="Q35" s="15">
        <f t="shared" si="27"/>
        <v>0</v>
      </c>
      <c r="R35" s="15">
        <f t="shared" si="27"/>
        <v>0</v>
      </c>
      <c r="S35" s="15">
        <f t="shared" si="27"/>
        <v>0</v>
      </c>
      <c r="T35" s="15">
        <f t="shared" si="27"/>
        <v>0</v>
      </c>
      <c r="U35" s="15">
        <f t="shared" si="27"/>
        <v>0</v>
      </c>
      <c r="V35" s="15">
        <f t="shared" si="27"/>
        <v>0</v>
      </c>
      <c r="W35" s="15">
        <f t="shared" si="13"/>
        <v>0</v>
      </c>
      <c r="X35" s="15">
        <f t="shared" si="14"/>
        <v>0</v>
      </c>
      <c r="Y35" s="15">
        <f t="shared" si="15"/>
        <v>0</v>
      </c>
      <c r="Z35" s="15">
        <f t="shared" si="16"/>
        <v>0</v>
      </c>
      <c r="AA35" s="15">
        <f t="shared" si="17"/>
        <v>0</v>
      </c>
      <c r="AB35" s="15">
        <f t="shared" si="18"/>
        <v>0</v>
      </c>
      <c r="AC35" s="15">
        <f t="shared" si="19"/>
        <v>0</v>
      </c>
      <c r="AD35" s="15">
        <f t="shared" si="20"/>
        <v>0</v>
      </c>
      <c r="AE35" s="15">
        <f t="shared" si="21"/>
        <v>0</v>
      </c>
      <c r="AF35" s="15">
        <f t="shared" si="22"/>
        <v>0</v>
      </c>
      <c r="AG35" s="170">
        <f t="shared" si="23"/>
        <v>0</v>
      </c>
      <c r="AH35" s="166"/>
    </row>
    <row r="36" spans="1:35" ht="17.25" customHeight="1" outlineLevel="1" collapsed="1">
      <c r="A36" s="166" t="s">
        <v>15</v>
      </c>
      <c r="B36" s="21"/>
      <c r="C36" s="15">
        <f t="shared" ref="C36:V36" si="28">C27-B27</f>
        <v>18065.353333333336</v>
      </c>
      <c r="D36" s="15">
        <f t="shared" si="28"/>
        <v>307.11100666666243</v>
      </c>
      <c r="E36" s="15">
        <f t="shared" si="28"/>
        <v>312.33189377999588</v>
      </c>
      <c r="F36" s="15">
        <f t="shared" si="28"/>
        <v>-3109.0275700469992</v>
      </c>
      <c r="G36" s="15">
        <f t="shared" si="28"/>
        <v>264.78806728345626</v>
      </c>
      <c r="H36" s="15">
        <f t="shared" si="28"/>
        <v>269.28946442728011</v>
      </c>
      <c r="I36" s="15">
        <f t="shared" si="28"/>
        <v>273.86738532253912</v>
      </c>
      <c r="J36" s="15">
        <f t="shared" si="28"/>
        <v>278.52313087302537</v>
      </c>
      <c r="K36" s="15">
        <f t="shared" si="28"/>
        <v>283.25802409786411</v>
      </c>
      <c r="L36" s="15">
        <f t="shared" si="28"/>
        <v>288.0734105075353</v>
      </c>
      <c r="M36" s="15">
        <f t="shared" si="28"/>
        <v>292.97065848615239</v>
      </c>
      <c r="N36" s="15">
        <f t="shared" si="28"/>
        <v>297.95115968042592</v>
      </c>
      <c r="O36" s="15">
        <f t="shared" si="28"/>
        <v>303.01632939498813</v>
      </c>
      <c r="P36" s="15">
        <f t="shared" si="28"/>
        <v>308.16760699470979</v>
      </c>
      <c r="Q36" s="15">
        <f t="shared" si="28"/>
        <v>313.40645631361622</v>
      </c>
      <c r="R36" s="15">
        <f t="shared" si="28"/>
        <v>318.73436607094118</v>
      </c>
      <c r="S36" s="15">
        <f t="shared" si="28"/>
        <v>324.15285029415463</v>
      </c>
      <c r="T36" s="15">
        <f t="shared" si="28"/>
        <v>329.66344874915012</v>
      </c>
      <c r="U36" s="15">
        <f t="shared" si="28"/>
        <v>335.26772737788633</v>
      </c>
      <c r="V36" s="15">
        <f t="shared" si="28"/>
        <v>340.96727874331555</v>
      </c>
      <c r="W36" s="15">
        <f t="shared" si="13"/>
        <v>4495.6896726483428</v>
      </c>
      <c r="X36" s="15">
        <f t="shared" si="14"/>
        <v>423.19044691697491</v>
      </c>
      <c r="Y36" s="15">
        <f t="shared" si="15"/>
        <v>430.38468451455992</v>
      </c>
      <c r="Z36" s="15">
        <f t="shared" si="16"/>
        <v>437.70122415130027</v>
      </c>
      <c r="AA36" s="15">
        <f t="shared" si="17"/>
        <v>445.14214496187924</v>
      </c>
      <c r="AB36" s="15">
        <f t="shared" si="18"/>
        <v>452.70956142623618</v>
      </c>
      <c r="AC36" s="15">
        <f t="shared" si="19"/>
        <v>460.40562397047688</v>
      </c>
      <c r="AD36" s="15">
        <f t="shared" si="20"/>
        <v>468.23251957797402</v>
      </c>
      <c r="AE36" s="15">
        <f t="shared" si="21"/>
        <v>476.19247241079574</v>
      </c>
      <c r="AF36" s="15">
        <f t="shared" si="22"/>
        <v>484.28774444178998</v>
      </c>
      <c r="AG36" s="170">
        <f t="shared" si="23"/>
        <v>492.52063609729521</v>
      </c>
      <c r="AH36" s="166"/>
    </row>
    <row r="37" spans="1:35" ht="17.25" customHeight="1" outlineLevel="1">
      <c r="A37" s="174" t="s">
        <v>129</v>
      </c>
      <c r="B37" s="176"/>
      <c r="C37" s="176">
        <f>-B28</f>
        <v>0</v>
      </c>
      <c r="D37" s="176">
        <f t="shared" ref="D37:V37" si="29">-C28</f>
        <v>0</v>
      </c>
      <c r="E37" s="176">
        <f t="shared" si="29"/>
        <v>0</v>
      </c>
      <c r="F37" s="176">
        <f t="shared" si="29"/>
        <v>0</v>
      </c>
      <c r="G37" s="176">
        <f t="shared" si="29"/>
        <v>0</v>
      </c>
      <c r="H37" s="176">
        <f t="shared" si="29"/>
        <v>0</v>
      </c>
      <c r="I37" s="176">
        <f t="shared" ca="1" si="29"/>
        <v>-27437.497661113019</v>
      </c>
      <c r="J37" s="176">
        <f t="shared" si="29"/>
        <v>0</v>
      </c>
      <c r="K37" s="176">
        <f t="shared" si="29"/>
        <v>0</v>
      </c>
      <c r="L37" s="176">
        <f t="shared" si="29"/>
        <v>0</v>
      </c>
      <c r="M37" s="176">
        <f t="shared" si="29"/>
        <v>0</v>
      </c>
      <c r="N37" s="176">
        <f t="shared" ca="1" si="29"/>
        <v>-45551.212903002881</v>
      </c>
      <c r="O37" s="176">
        <f t="shared" si="29"/>
        <v>0</v>
      </c>
      <c r="P37" s="176">
        <f t="shared" si="29"/>
        <v>0</v>
      </c>
      <c r="Q37" s="176">
        <f t="shared" si="29"/>
        <v>0</v>
      </c>
      <c r="R37" s="176">
        <f t="shared" si="29"/>
        <v>0</v>
      </c>
      <c r="S37" s="176">
        <f t="shared" ca="1" si="29"/>
        <v>-60024.215404028888</v>
      </c>
      <c r="T37" s="176">
        <f t="shared" si="29"/>
        <v>0</v>
      </c>
      <c r="U37" s="176">
        <f t="shared" si="29"/>
        <v>0</v>
      </c>
      <c r="V37" s="176">
        <f t="shared" si="29"/>
        <v>0</v>
      </c>
      <c r="W37" s="176">
        <f t="shared" ref="W37:AG37" si="30">-V28</f>
        <v>0</v>
      </c>
      <c r="X37" s="176">
        <f t="shared" ca="1" si="30"/>
        <v>-72280.884091097192</v>
      </c>
      <c r="Y37" s="176">
        <f t="shared" si="30"/>
        <v>0</v>
      </c>
      <c r="Z37" s="176">
        <f t="shared" si="30"/>
        <v>0</v>
      </c>
      <c r="AA37" s="176">
        <f t="shared" si="30"/>
        <v>0</v>
      </c>
      <c r="AB37" s="176">
        <f t="shared" si="30"/>
        <v>0</v>
      </c>
      <c r="AC37" s="176">
        <f t="shared" ca="1" si="30"/>
        <v>-83289.343277097651</v>
      </c>
      <c r="AD37" s="176">
        <f t="shared" si="30"/>
        <v>0</v>
      </c>
      <c r="AE37" s="176">
        <f t="shared" si="30"/>
        <v>0</v>
      </c>
      <c r="AF37" s="176">
        <f t="shared" si="30"/>
        <v>0</v>
      </c>
      <c r="AG37" s="251">
        <f t="shared" si="30"/>
        <v>0</v>
      </c>
      <c r="AH37" s="166"/>
    </row>
    <row r="38" spans="1:35" ht="12.75" customHeight="1">
      <c r="B38" s="21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5" ht="17.25" customHeight="1">
      <c r="A39" s="177" t="s">
        <v>100</v>
      </c>
      <c r="B39" s="179"/>
      <c r="C39" s="179">
        <f t="shared" ref="C39:V39" si="31">B40</f>
        <v>0</v>
      </c>
      <c r="D39" s="179">
        <f t="shared" ca="1" si="31"/>
        <v>53145.561937506296</v>
      </c>
      <c r="E39" s="179">
        <f t="shared" ca="1" si="31"/>
        <v>113983.00137055908</v>
      </c>
      <c r="F39" s="179">
        <f t="shared" ca="1" si="31"/>
        <v>176359.9093705847</v>
      </c>
      <c r="G39" s="179">
        <f t="shared" ca="1" si="31"/>
        <v>237739.9602367474</v>
      </c>
      <c r="H39" s="179">
        <f t="shared" ca="1" si="31"/>
        <v>304990.28762690636</v>
      </c>
      <c r="I39" s="179">
        <f t="shared" ca="1" si="31"/>
        <v>374853.91225229873</v>
      </c>
      <c r="J39" s="179">
        <f t="shared" ca="1" si="31"/>
        <v>419662.78899993299</v>
      </c>
      <c r="K39" s="179">
        <f t="shared" ca="1" si="31"/>
        <v>494364.48381646513</v>
      </c>
      <c r="L39" s="179">
        <f t="shared" ca="1" si="31"/>
        <v>571903.99791748251</v>
      </c>
      <c r="M39" s="179">
        <f t="shared" ca="1" si="31"/>
        <v>652364.7720956126</v>
      </c>
      <c r="N39" s="179">
        <f t="shared" ca="1" si="31"/>
        <v>735832.45580036938</v>
      </c>
      <c r="O39" s="179">
        <f t="shared" ca="1" si="31"/>
        <v>776332.45569616626</v>
      </c>
      <c r="P39" s="179">
        <f t="shared" ca="1" si="31"/>
        <v>865045.95341729419</v>
      </c>
      <c r="Q39" s="179">
        <f t="shared" ca="1" si="31"/>
        <v>957013.90659890196</v>
      </c>
      <c r="R39" s="179">
        <f t="shared" ca="1" si="31"/>
        <v>1052330.8445809283</v>
      </c>
      <c r="S39" s="179">
        <f t="shared" ca="1" si="31"/>
        <v>1151093.783790933</v>
      </c>
      <c r="T39" s="179">
        <f t="shared" ca="1" si="31"/>
        <v>1192704.3269908552</v>
      </c>
      <c r="U39" s="179">
        <f t="shared" ca="1" si="31"/>
        <v>1297297.9581226511</v>
      </c>
      <c r="V39" s="179">
        <f t="shared" ca="1" si="31"/>
        <v>1405613.6004883084</v>
      </c>
      <c r="W39" s="179">
        <f t="shared" ref="W39:AG39" ca="1" si="32">V40</f>
        <v>1517758.1676892613</v>
      </c>
      <c r="X39" s="179">
        <f t="shared" ca="1" si="32"/>
        <v>1638036.8664826793</v>
      </c>
      <c r="Y39" s="179">
        <f t="shared" ca="1" si="32"/>
        <v>1685244.5838103173</v>
      </c>
      <c r="Z39" s="179">
        <f t="shared" ca="1" si="32"/>
        <v>1808075.3049100442</v>
      </c>
      <c r="AA39" s="179">
        <f t="shared" ca="1" si="32"/>
        <v>1935159.50442428</v>
      </c>
      <c r="AB39" s="179">
        <f t="shared" ca="1" si="32"/>
        <v>2066618.1019690919</v>
      </c>
      <c r="AC39" s="179">
        <f t="shared" ca="1" si="32"/>
        <v>2202575.1640597936</v>
      </c>
      <c r="AD39" s="179">
        <f t="shared" ca="1" si="32"/>
        <v>2258933.7498511304</v>
      </c>
      <c r="AE39" s="179">
        <f t="shared" ca="1" si="32"/>
        <v>2402382.1545764077</v>
      </c>
      <c r="AF39" s="179">
        <f t="shared" ca="1" si="32"/>
        <v>2550678.4480205295</v>
      </c>
      <c r="AG39" s="243">
        <f t="shared" ca="1" si="32"/>
        <v>2703959.1303485618</v>
      </c>
      <c r="AH39" s="166"/>
    </row>
    <row r="40" spans="1:35" ht="17.25" customHeight="1">
      <c r="A40" s="174" t="s">
        <v>101</v>
      </c>
      <c r="B40" s="175">
        <f>SP!B7</f>
        <v>0</v>
      </c>
      <c r="C40" s="175">
        <f ca="1">+SP!C7-SP!C22</f>
        <v>53145.561937506296</v>
      </c>
      <c r="D40" s="175">
        <f ca="1">+SP!D7-SP!D22</f>
        <v>113983.00137055908</v>
      </c>
      <c r="E40" s="175">
        <f ca="1">+SP!E7-SP!E22</f>
        <v>176359.9093705847</v>
      </c>
      <c r="F40" s="175">
        <f ca="1">+SP!F7-SP!F22</f>
        <v>237739.9602367474</v>
      </c>
      <c r="G40" s="175">
        <f ca="1">+SP!G7-SP!G22</f>
        <v>304990.28762690636</v>
      </c>
      <c r="H40" s="175">
        <f ca="1">+SP!H7-SP!H22</f>
        <v>374853.91225229873</v>
      </c>
      <c r="I40" s="175">
        <f ca="1">+SP!I7-SP!I22</f>
        <v>419662.78899993299</v>
      </c>
      <c r="J40" s="175">
        <f ca="1">+SP!J7-SP!J22</f>
        <v>494364.48381646513</v>
      </c>
      <c r="K40" s="175">
        <f ca="1">+SP!K7-SP!K22</f>
        <v>571903.99791748251</v>
      </c>
      <c r="L40" s="175">
        <f ca="1">+SP!L7-SP!L22</f>
        <v>652364.7720956126</v>
      </c>
      <c r="M40" s="175">
        <f ca="1">+SP!M7-SP!M22</f>
        <v>735832.45580036938</v>
      </c>
      <c r="N40" s="175">
        <f ca="1">+SP!N7-SP!N22</f>
        <v>776332.45569616626</v>
      </c>
      <c r="O40" s="175">
        <f ca="1">+SP!O7-SP!O22</f>
        <v>865045.95341729419</v>
      </c>
      <c r="P40" s="175">
        <f ca="1">+SP!P7-SP!P22</f>
        <v>957013.90659890196</v>
      </c>
      <c r="Q40" s="175">
        <f ca="1">+SP!Q7-SP!Q22</f>
        <v>1052330.8445809283</v>
      </c>
      <c r="R40" s="175">
        <f ca="1">+SP!R7-SP!R22</f>
        <v>1151093.783790933</v>
      </c>
      <c r="S40" s="175">
        <f ca="1">+SP!S7-SP!S22</f>
        <v>1192704.3269908552</v>
      </c>
      <c r="T40" s="175">
        <f ca="1">+SP!T7-SP!T22</f>
        <v>1297297.9581226511</v>
      </c>
      <c r="U40" s="175">
        <f ca="1">+SP!U7-SP!U22</f>
        <v>1405613.6004883084</v>
      </c>
      <c r="V40" s="175">
        <f ca="1">+SP!V7-SP!V22</f>
        <v>1517758.1676892613</v>
      </c>
      <c r="W40" s="175">
        <f ca="1">+SP!W7-SP!W22</f>
        <v>1638036.8664826793</v>
      </c>
      <c r="X40" s="175">
        <f ca="1">+SP!X7-SP!X22</f>
        <v>1685244.5838103173</v>
      </c>
      <c r="Y40" s="175">
        <f ca="1">+SP!Y7-SP!Y22</f>
        <v>1808075.3049100442</v>
      </c>
      <c r="Z40" s="175">
        <f ca="1">+SP!Z7-SP!Z22</f>
        <v>1935159.50442428</v>
      </c>
      <c r="AA40" s="175">
        <f ca="1">+SP!AA7-SP!AA22</f>
        <v>2066618.1019690919</v>
      </c>
      <c r="AB40" s="175">
        <f ca="1">+SP!AB7-SP!AB22</f>
        <v>2202575.1640597936</v>
      </c>
      <c r="AC40" s="175">
        <f ca="1">+SP!AC7-SP!AC22</f>
        <v>2258933.7498511304</v>
      </c>
      <c r="AD40" s="175">
        <f ca="1">+SP!AD7-SP!AD22</f>
        <v>2402382.1545764077</v>
      </c>
      <c r="AE40" s="175">
        <f ca="1">+SP!AE7-SP!AE22</f>
        <v>2550678.4480205295</v>
      </c>
      <c r="AF40" s="175">
        <f ca="1">+SP!AF7-SP!AF22</f>
        <v>2703959.1303485618</v>
      </c>
      <c r="AG40" s="244">
        <f ca="1">+SP!AG7-SP!AG22</f>
        <v>2862364.2364163259</v>
      </c>
      <c r="AH40" s="166"/>
    </row>
    <row r="41" spans="1:35" ht="12" customHeight="1">
      <c r="B41" s="21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5" ht="18" customHeight="1">
      <c r="A42" s="177" t="s">
        <v>119</v>
      </c>
      <c r="B42" s="178"/>
      <c r="C42" s="179">
        <f ca="1">NPV(C43,C19:AG19)</f>
        <v>1554418.9012863531</v>
      </c>
      <c r="D42" s="179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80"/>
      <c r="AH42" s="166"/>
    </row>
    <row r="43" spans="1:35" ht="18" customHeight="1">
      <c r="A43" s="166" t="s">
        <v>251</v>
      </c>
      <c r="C43" s="129">
        <f ca="1">+AVERAGE(C44:V44)</f>
        <v>3.6270209730618043E-2</v>
      </c>
      <c r="D43" s="129"/>
      <c r="E43" s="33"/>
      <c r="AG43" s="181"/>
      <c r="AH43" s="166"/>
    </row>
    <row r="44" spans="1:35" ht="18" customHeight="1">
      <c r="A44" s="166" t="s">
        <v>252</v>
      </c>
      <c r="C44" s="128">
        <f ca="1">$C$45*(1-Ipotesi!C64)*(SP!C33/(SP!C33+SP!C39))+$C$46*(SP!C39/(SP!C33+SP!C39))</f>
        <v>3.6035499013912661E-2</v>
      </c>
      <c r="D44" s="128">
        <f ca="1">$C$45*(1-Ipotesi!D64)*(SP!D33/(SP!D33+SP!D39))+$C$46*(SP!D39/(SP!D33+SP!D39))</f>
        <v>3.5821283666686445E-2</v>
      </c>
      <c r="E44" s="128">
        <f ca="1">$C$45*(1-Ipotesi!E64)*(SP!E33/(SP!E33+SP!E39))+$C$46*(SP!E39/(SP!E33+SP!E39))</f>
        <v>3.6008476162863678E-2</v>
      </c>
      <c r="F44" s="128">
        <f ca="1">$C$45*(1-Ipotesi!F64)*(SP!F33/(SP!F33+SP!F39))+$C$46*(SP!F39/(SP!F33+SP!F39))</f>
        <v>3.6135374407460556E-2</v>
      </c>
      <c r="G44" s="128">
        <f ca="1">$C$45*(1-Ipotesi!G64)*(SP!G33/(SP!G33+SP!G39))+$C$46*(SP!G39/(SP!G33+SP!G39))</f>
        <v>3.627254815253441E-2</v>
      </c>
      <c r="H44" s="128">
        <f ca="1">$C$45*(1-Ipotesi!H64)*(SP!H33/(SP!H33+SP!H39))+$C$46*(SP!H39/(SP!H33+SP!H39))</f>
        <v>3.6359367067081774E-2</v>
      </c>
      <c r="I44" s="128">
        <f ca="1">$C$45*(1-Ipotesi!I64)*(SP!I33/(SP!I33+SP!I39))+$C$46*(SP!I39/(SP!I33+SP!I39))</f>
        <v>3.6238042746082604E-2</v>
      </c>
      <c r="J44" s="128">
        <f ca="1">$C$45*(1-Ipotesi!J64)*(SP!J33/(SP!J33+SP!J39))+$C$46*(SP!J39/(SP!J33+SP!J39))</f>
        <v>3.6313769960710264E-2</v>
      </c>
      <c r="K44" s="128">
        <f ca="1">$C$45*(1-Ipotesi!K64)*(SP!K33/(SP!K33+SP!K39))+$C$46*(SP!K39/(SP!K33+SP!K39))</f>
        <v>3.63755817264294E-2</v>
      </c>
      <c r="L44" s="128">
        <f ca="1">$C$45*(1-Ipotesi!L64)*(SP!L33/(SP!L33+SP!L39))+$C$46*(SP!L39/(SP!L33+SP!L39))</f>
        <v>3.6426112470134157E-2</v>
      </c>
      <c r="M44" s="128">
        <f ca="1">$C$45*(1-Ipotesi!M64)*(SP!M33/(SP!M33+SP!M39))+$C$46*(SP!M39/(SP!M33+SP!M39))</f>
        <v>3.6467392300738671E-2</v>
      </c>
      <c r="N44" s="128">
        <f ca="1">$C$45*(1-Ipotesi!N64)*(SP!N33/(SP!N33+SP!N39))+$C$46*(SP!N39/(SP!N33+SP!N39))</f>
        <v>3.6287294173402873E-2</v>
      </c>
      <c r="O44" s="128">
        <f ca="1">$C$45*(1-Ipotesi!O64)*(SP!O33/(SP!O33+SP!O39))+$C$46*(SP!O39/(SP!O33+SP!O39))</f>
        <v>3.6332268761776518E-2</v>
      </c>
      <c r="P44" s="128">
        <f ca="1">$C$45*(1-Ipotesi!P64)*(SP!P33/(SP!P33+SP!P39))+$C$46*(SP!P39/(SP!P33+SP!P39))</f>
        <v>3.6369756885627567E-2</v>
      </c>
      <c r="Q44" s="128">
        <f ca="1">$C$45*(1-Ipotesi!Q64)*(SP!Q33/(SP!Q33+SP!Q39))+$C$46*(SP!Q39/(SP!Q33+SP!Q39))</f>
        <v>3.6400914447051548E-2</v>
      </c>
      <c r="R44" s="128">
        <f ca="1">$C$45*(1-Ipotesi!R64)*(SP!R33/(SP!R33+SP!R39))+$C$46*(SP!R39/(SP!R33+SP!R39))</f>
        <v>3.6426683232776487E-2</v>
      </c>
      <c r="S44" s="128">
        <f ca="1">$C$45*(1-Ipotesi!S64)*(SP!S33/(SP!S33+SP!S39))+$C$46*(SP!S39/(SP!S33+SP!S39))</f>
        <v>3.6240134257246322E-2</v>
      </c>
      <c r="T44" s="128">
        <f ca="1">$C$45*(1-Ipotesi!T64)*(SP!T33/(SP!T33+SP!T39))+$C$46*(SP!T39/(SP!T33+SP!T39))</f>
        <v>3.6272176806689996E-2</v>
      </c>
      <c r="U44" s="128">
        <f ca="1">$C$45*(1-Ipotesi!U64)*(SP!U33/(SP!U33+SP!U39))+$C$46*(SP!U39/(SP!U33+SP!U39))</f>
        <v>3.6299316941913323E-2</v>
      </c>
      <c r="V44" s="128">
        <f ca="1">$C$45*(1-Ipotesi!V64)*(SP!V33/(SP!V33+SP!V39))+$C$46*(SP!V39/(SP!V33+SP!V39))</f>
        <v>3.6322201431241458E-2</v>
      </c>
      <c r="W44" s="128">
        <f ca="1">$C$45*(1-Ipotesi!W64)*(SP!W33/(SP!W33+SP!W39))+$C$46*(SP!W39/(SP!W33+SP!W39))</f>
        <v>3.635274118797905E-2</v>
      </c>
      <c r="X44" s="128">
        <f ca="1">$C$45*(1-Ipotesi!X64)*(SP!X33/(SP!X33+SP!X39))+$C$46*(SP!X39/(SP!X33+SP!X39))</f>
        <v>3.6175669498595464E-2</v>
      </c>
      <c r="Y44" s="128">
        <f ca="1">$C$45*(1-Ipotesi!Y64)*(SP!Y33/(SP!Y33+SP!Y39))+$C$46*(SP!Y39/(SP!Y33+SP!Y39))</f>
        <v>3.6200509773144256E-2</v>
      </c>
      <c r="Z44" s="128">
        <f ca="1">$C$45*(1-Ipotesi!Z64)*(SP!Z33/(SP!Z33+SP!Z39))+$C$46*(SP!Z39/(SP!Z33+SP!Z39))</f>
        <v>3.6221825803945971E-2</v>
      </c>
      <c r="AA44" s="128">
        <f ca="1">$C$45*(1-Ipotesi!AA64)*(SP!AA33/(SP!AA33+SP!AA39))+$C$46*(SP!AA39/(SP!AA33+SP!AA39))</f>
        <v>3.6240026167609636E-2</v>
      </c>
      <c r="AB44" s="128">
        <f ca="1">$C$45*(1-Ipotesi!AB64)*(SP!AB33/(SP!AB33+SP!AB39))+$C$46*(SP!AB39/(SP!AB33+SP!AB39))</f>
        <v>3.6255463906473891E-2</v>
      </c>
      <c r="AC44" s="128">
        <f ca="1">$C$45*(1-Ipotesi!AC64)*(SP!AC33/(SP!AC33+SP!AC39))+$C$46*(SP!AC39/(SP!AC33+SP!AC39))</f>
        <v>3.6092231743679884E-2</v>
      </c>
      <c r="AD44" s="128">
        <f ca="1">$C$45*(1-Ipotesi!AD64)*(SP!AD33/(SP!AD33+SP!AD39))+$C$46*(SP!AD39/(SP!AD33+SP!AD39))</f>
        <v>3.6113273066795661E-2</v>
      </c>
      <c r="AE44" s="128">
        <f ca="1">$C$45*(1-Ipotesi!AE64)*(SP!AE33/(SP!AE33+SP!AE39))+$C$46*(SP!AE39/(SP!AE33+SP!AE39))</f>
        <v>3.6131576462409234E-2</v>
      </c>
      <c r="AF44" s="128">
        <f ca="1">$C$45*(1-Ipotesi!AF64)*(SP!AF33/(SP!AF33+SP!AF39))+$C$46*(SP!AF39/(SP!AF33+SP!AF39))</f>
        <v>3.6147426067867042E-2</v>
      </c>
      <c r="AG44" s="128">
        <f ca="1">$C$45*(1-Ipotesi!AG64)*(SP!AG33/(SP!AG33+SP!AG39))+$C$46*(SP!AG39/(SP!AG33+SP!AG39))</f>
        <v>3.616107177361997E-2</v>
      </c>
      <c r="AH44" s="166"/>
    </row>
    <row r="45" spans="1:35" ht="18" customHeight="1">
      <c r="A45" s="166" t="s">
        <v>253</v>
      </c>
      <c r="C45" s="130">
        <v>5.5E-2</v>
      </c>
      <c r="D45" s="128"/>
      <c r="AG45" s="181"/>
      <c r="AH45" s="166"/>
    </row>
    <row r="46" spans="1:35" ht="18" customHeight="1">
      <c r="A46" s="166" t="s">
        <v>102</v>
      </c>
      <c r="C46" s="130">
        <v>3.5209999999999998E-2</v>
      </c>
      <c r="D46" s="128"/>
      <c r="AG46" s="181"/>
      <c r="AH46" s="166"/>
    </row>
    <row r="47" spans="1:35" ht="18" hidden="1" customHeight="1" outlineLevel="1">
      <c r="A47" s="166" t="s">
        <v>120</v>
      </c>
      <c r="C47" s="182">
        <f>IF(('Finanz. bancari'!B60+'Finanz. bancari'!B61)=0,0,C19/-('Finanz. bancari'!B60+'Finanz. bancari'!B61))</f>
        <v>0</v>
      </c>
      <c r="D47" s="182">
        <f>IF(('Finanz. bancari'!C60+'Finanz. bancari'!C61)=0,0,D19/-('Finanz. bancari'!C60+'Finanz. bancari'!C61))</f>
        <v>0</v>
      </c>
      <c r="E47" s="182">
        <f>IF(('Finanz. bancari'!D60+'Finanz. bancari'!D61)=0,0,E19/-('Finanz. bancari'!D60+'Finanz. bancari'!D61))</f>
        <v>0</v>
      </c>
      <c r="F47" s="182">
        <f>IF(('Finanz. bancari'!E60+'Finanz. bancari'!E61)=0,0,F19/-('Finanz. bancari'!E60+'Finanz. bancari'!E61))</f>
        <v>0</v>
      </c>
      <c r="G47" s="182">
        <f>IF(('Finanz. bancari'!F60+'Finanz. bancari'!F61)=0,0,G19/-('Finanz. bancari'!F60+'Finanz. bancari'!F61))</f>
        <v>0</v>
      </c>
      <c r="H47" s="182">
        <f>IF(('Finanz. bancari'!G60+'Finanz. bancari'!G61)=0,0,H19/-('Finanz. bancari'!G60+'Finanz. bancari'!G61))</f>
        <v>0</v>
      </c>
      <c r="I47" s="182">
        <f>IF(('Finanz. bancari'!H60+'Finanz. bancari'!H61)=0,0,I19/-('Finanz. bancari'!H60+'Finanz. bancari'!H61))</f>
        <v>0</v>
      </c>
      <c r="J47" s="182">
        <f>IF(('Finanz. bancari'!I60+'Finanz. bancari'!I61)=0,0,J19/-('Finanz. bancari'!I60+'Finanz. bancari'!I61))</f>
        <v>0</v>
      </c>
      <c r="K47" s="182">
        <f>IF(('Finanz. bancari'!J60+'Finanz. bancari'!J61)=0,0,K19/-('Finanz. bancari'!J60+'Finanz. bancari'!J61))</f>
        <v>0</v>
      </c>
      <c r="L47" s="182">
        <f>IF(('Finanz. bancari'!K60+'Finanz. bancari'!K61)=0,0,L19/-('Finanz. bancari'!K60+'Finanz. bancari'!K61))</f>
        <v>0</v>
      </c>
      <c r="M47" s="182">
        <f>IF(('Finanz. bancari'!L60+'Finanz. bancari'!L61)=0,0,M19/-('Finanz. bancari'!L60+'Finanz. bancari'!L61))</f>
        <v>0</v>
      </c>
      <c r="N47" s="182">
        <f>IF(('Finanz. bancari'!M60+'Finanz. bancari'!M61)=0,0,N19/-('Finanz. bancari'!M60+'Finanz. bancari'!M61))</f>
        <v>0</v>
      </c>
      <c r="O47" s="182">
        <f>IF(('Finanz. bancari'!N60+'Finanz. bancari'!N61)=0,0,O19/-('Finanz. bancari'!N60+'Finanz. bancari'!N61))</f>
        <v>0</v>
      </c>
      <c r="P47" s="182">
        <f>IF(('Finanz. bancari'!O60+'Finanz. bancari'!O61)=0,0,P19/-('Finanz. bancari'!O60+'Finanz. bancari'!O61))</f>
        <v>0</v>
      </c>
      <c r="Q47" s="182">
        <f>IF(('Finanz. bancari'!P60+'Finanz. bancari'!P61)=0,0,Q19/-('Finanz. bancari'!P60+'Finanz. bancari'!P61))</f>
        <v>0</v>
      </c>
      <c r="R47" s="182">
        <f>IF(('Finanz. bancari'!Q60+'Finanz. bancari'!Q61)=0,0,R19/-('Finanz. bancari'!Q60+'Finanz. bancari'!Q61))</f>
        <v>0</v>
      </c>
      <c r="S47" s="182">
        <f>IF(('Finanz. bancari'!R60+'Finanz. bancari'!R61)=0,0,S19/-('Finanz. bancari'!R60+'Finanz. bancari'!R61))</f>
        <v>0</v>
      </c>
      <c r="T47" s="182">
        <f>IF(('Finanz. bancari'!S60+'Finanz. bancari'!S61)=0,0,T19/-('Finanz. bancari'!S60+'Finanz. bancari'!S61))</f>
        <v>0</v>
      </c>
      <c r="U47" s="182">
        <f>IF(('Finanz. bancari'!T60+'Finanz. bancari'!T61)=0,0,U19/-('Finanz. bancari'!T60+'Finanz. bancari'!T61))</f>
        <v>0</v>
      </c>
      <c r="V47" s="182">
        <f>IF(('Finanz. bancari'!U60+'Finanz. bancari'!U61)=0,0,V19/-('Finanz. bancari'!U60+'Finanz. bancari'!U61))</f>
        <v>0</v>
      </c>
      <c r="W47" s="182">
        <f>IF(('Finanz. bancari'!V60+'Finanz. bancari'!V61)=0,0,W19/-('Finanz. bancari'!V60+'Finanz. bancari'!V61))</f>
        <v>0</v>
      </c>
      <c r="X47" s="182">
        <f>IF(('Finanz. bancari'!W60+'Finanz. bancari'!W61)=0,0,X19/-('Finanz. bancari'!W60+'Finanz. bancari'!W61))</f>
        <v>0</v>
      </c>
      <c r="Y47" s="182">
        <f>IF(('Finanz. bancari'!X60+'Finanz. bancari'!X61)=0,0,Y19/-('Finanz. bancari'!X60+'Finanz. bancari'!X61))</f>
        <v>0</v>
      </c>
      <c r="Z47" s="182">
        <f>IF(('Finanz. bancari'!Y60+'Finanz. bancari'!Y61)=0,0,Z19/-('Finanz. bancari'!Y60+'Finanz. bancari'!Y61))</f>
        <v>0</v>
      </c>
      <c r="AA47" s="182">
        <f>IF(('Finanz. bancari'!Z60+'Finanz. bancari'!Z61)=0,0,AA19/-('Finanz. bancari'!Z60+'Finanz. bancari'!Z61))</f>
        <v>0</v>
      </c>
      <c r="AB47" s="182">
        <f>IF(('Finanz. bancari'!AA60+'Finanz. bancari'!AA61)=0,0,AB19/-('Finanz. bancari'!AA60+'Finanz. bancari'!AA61))</f>
        <v>0</v>
      </c>
      <c r="AC47" s="182">
        <f>IF(('Finanz. bancari'!AB60+'Finanz. bancari'!AB61)=0,0,AC19/-('Finanz. bancari'!AB60+'Finanz. bancari'!AB61))</f>
        <v>0</v>
      </c>
      <c r="AD47" s="182">
        <f>IF(('Finanz. bancari'!AC60+'Finanz. bancari'!AC61)=0,0,AD19/-('Finanz. bancari'!AC60+'Finanz. bancari'!AC61))</f>
        <v>0</v>
      </c>
      <c r="AE47" s="182">
        <f>IF(('Finanz. bancari'!AD60+'Finanz. bancari'!AD61)=0,0,AE19/-('Finanz. bancari'!AD60+'Finanz. bancari'!AD61))</f>
        <v>0</v>
      </c>
      <c r="AF47" s="182">
        <f>IF(('Finanz. bancari'!AE60+'Finanz. bancari'!AE61)=0,0,AF19/-('Finanz. bancari'!AE60+'Finanz. bancari'!AE61))</f>
        <v>0</v>
      </c>
      <c r="AG47" s="182">
        <f>IF(('Finanz. bancari'!AF60+'Finanz. bancari'!AF61)=0,0,AG19/-('Finanz. bancari'!AF60+'Finanz. bancari'!AF61))</f>
        <v>0</v>
      </c>
      <c r="AH47" s="166"/>
    </row>
    <row r="48" spans="1:35" ht="18" hidden="1" customHeight="1" outlineLevel="1">
      <c r="A48" s="183" t="s">
        <v>104</v>
      </c>
      <c r="B48" s="29"/>
      <c r="C48" s="182" t="e">
        <f>SUM(C47:AG47)/COUNTIF(C47:AG47,"&gt;0")</f>
        <v>#DIV/0!</v>
      </c>
      <c r="D48" s="182"/>
      <c r="E48" s="182"/>
      <c r="F48" s="182"/>
      <c r="G48" s="182"/>
      <c r="H48" s="182"/>
      <c r="I48" s="182"/>
      <c r="J48" s="182"/>
      <c r="AG48" s="181"/>
      <c r="AH48" s="166"/>
    </row>
    <row r="49" spans="1:34" ht="18" hidden="1" customHeight="1" outlineLevel="1">
      <c r="A49" s="174" t="s">
        <v>105</v>
      </c>
      <c r="B49" s="184"/>
      <c r="C49" s="185">
        <f ca="1">(SP!C22+SP!C28)/(SP!C39)</f>
        <v>0</v>
      </c>
      <c r="D49" s="185">
        <f ca="1">(SP!D22+SP!D28)/(SP!D39)</f>
        <v>0</v>
      </c>
      <c r="E49" s="185">
        <f ca="1">(SP!E22+SP!E28)/(SP!E39)</f>
        <v>0</v>
      </c>
      <c r="F49" s="185">
        <f ca="1">(SP!F22+SP!F28)/(SP!F39)</f>
        <v>0</v>
      </c>
      <c r="G49" s="185">
        <f ca="1">(SP!G22+SP!G28)/(SP!G39)</f>
        <v>0</v>
      </c>
      <c r="H49" s="185">
        <f ca="1">(SP!H22+SP!H28)/(SP!H39)</f>
        <v>0</v>
      </c>
      <c r="I49" s="185">
        <f ca="1">(SP!I22+SP!I28)/(SP!I39)</f>
        <v>0</v>
      </c>
      <c r="J49" s="185">
        <f ca="1">(SP!J22+SP!J28)/(SP!J39)</f>
        <v>0</v>
      </c>
      <c r="K49" s="185">
        <f ca="1">(SP!K22+SP!K28)/(SP!K39)</f>
        <v>0</v>
      </c>
      <c r="L49" s="185">
        <f ca="1">(SP!L22+SP!L28)/(SP!L39)</f>
        <v>0</v>
      </c>
      <c r="M49" s="185">
        <f ca="1">(SP!M22+SP!M28)/(SP!M39)</f>
        <v>0</v>
      </c>
      <c r="N49" s="185">
        <f ca="1">(SP!N22+SP!N28)/(SP!N39)</f>
        <v>0</v>
      </c>
      <c r="O49" s="185">
        <f ca="1">(SP!O22+SP!O28)/(SP!O39)</f>
        <v>0</v>
      </c>
      <c r="P49" s="185">
        <f ca="1">(SP!P22+SP!P28)/(SP!P39)</f>
        <v>0</v>
      </c>
      <c r="Q49" s="185">
        <f ca="1">(SP!Q22+SP!Q28)/(SP!Q39)</f>
        <v>0</v>
      </c>
      <c r="R49" s="185">
        <f ca="1">(SP!R22+SP!R28)/(SP!R39)</f>
        <v>0</v>
      </c>
      <c r="S49" s="185">
        <f ca="1">(SP!S22+SP!S28)/(SP!S39)</f>
        <v>0</v>
      </c>
      <c r="T49" s="185">
        <f ca="1">(SP!T22+SP!T28)/(SP!T39)</f>
        <v>0</v>
      </c>
      <c r="U49" s="185">
        <f ca="1">(SP!U22+SP!U28)/(SP!U39)</f>
        <v>0</v>
      </c>
      <c r="V49" s="185">
        <f ca="1">(SP!V22+SP!V28)/(SP!V39)</f>
        <v>0</v>
      </c>
      <c r="W49" s="185">
        <f ca="1">(SP!W22+SP!W28)/(SP!W39)</f>
        <v>0</v>
      </c>
      <c r="X49" s="185">
        <f ca="1">(SP!X22+SP!X28)/(SP!X39)</f>
        <v>0</v>
      </c>
      <c r="Y49" s="185">
        <f ca="1">(SP!Y22+SP!Y28)/(SP!Y39)</f>
        <v>0</v>
      </c>
      <c r="Z49" s="185">
        <f ca="1">(SP!Z22+SP!Z28)/(SP!Z39)</f>
        <v>0</v>
      </c>
      <c r="AA49" s="185">
        <f ca="1">(SP!AA22+SP!AA28)/(SP!AA39)</f>
        <v>0</v>
      </c>
      <c r="AB49" s="185">
        <f ca="1">(SP!AB22+SP!AB28)/(SP!AB39)</f>
        <v>0</v>
      </c>
      <c r="AC49" s="185">
        <f ca="1">(SP!AC22+SP!AC28)/(SP!AC39)</f>
        <v>0</v>
      </c>
      <c r="AD49" s="185">
        <f ca="1">(SP!AD22+SP!AD28)/(SP!AD39)</f>
        <v>0</v>
      </c>
      <c r="AE49" s="185">
        <f ca="1">(SP!AE22+SP!AE28)/(SP!AE39)</f>
        <v>0</v>
      </c>
      <c r="AF49" s="185">
        <f ca="1">(SP!AF22+SP!AF28)/(SP!AF39)</f>
        <v>0</v>
      </c>
      <c r="AG49" s="185">
        <f ca="1">(SP!AG22+SP!AG28)/(SP!AG39)</f>
        <v>0</v>
      </c>
      <c r="AH49" s="166"/>
    </row>
    <row r="50" spans="1:34" ht="15" customHeight="1" collapsed="1">
      <c r="C50" s="20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</row>
  </sheetData>
  <mergeCells count="1">
    <mergeCell ref="AI1:AI19"/>
  </mergeCells>
  <phoneticPr fontId="4" type="noConversion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78" orientation="landscape" horizontalDpi="4294967293" verticalDpi="12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D86DE-9139-3345-A66A-11E42C890168}">
  <sheetPr>
    <pageSetUpPr fitToPage="1"/>
  </sheetPr>
  <dimension ref="A2:DU65"/>
  <sheetViews>
    <sheetView workbookViewId="0">
      <pane xSplit="2" ySplit="3" topLeftCell="C39" activePane="bottomRight" state="frozen"/>
      <selection pane="topRight" activeCell="C1" sqref="C1"/>
      <selection pane="bottomLeft" activeCell="A4" sqref="A4"/>
      <selection pane="bottomRight" activeCell="C43" sqref="C43"/>
    </sheetView>
  </sheetViews>
  <sheetFormatPr defaultColWidth="9.140625" defaultRowHeight="14.25" outlineLevelCol="1"/>
  <cols>
    <col min="1" max="1" width="39.42578125" style="34" bestFit="1" customWidth="1"/>
    <col min="2" max="2" width="12.7109375" style="34" customWidth="1" outlineLevel="1"/>
    <col min="3" max="3" width="11.140625" style="34" bestFit="1" customWidth="1"/>
    <col min="4" max="6" width="11.42578125" style="34" bestFit="1" customWidth="1"/>
    <col min="7" max="7" width="11.140625" style="34" bestFit="1" customWidth="1"/>
    <col min="8" max="11" width="11.42578125" style="34" bestFit="1" customWidth="1"/>
    <col min="12" max="12" width="11.140625" style="34" bestFit="1" customWidth="1"/>
    <col min="13" max="18" width="11.42578125" style="34" bestFit="1" customWidth="1"/>
    <col min="19" max="19" width="11.140625" style="34" bestFit="1" customWidth="1"/>
    <col min="20" max="24" width="11.42578125" style="34" bestFit="1" customWidth="1"/>
    <col min="25" max="25" width="11.140625" style="34" bestFit="1" customWidth="1"/>
    <col min="26" max="26" width="11.42578125" style="34" bestFit="1" customWidth="1"/>
    <col min="27" max="29" width="12.28515625" style="34" bestFit="1" customWidth="1"/>
    <col min="30" max="30" width="12" style="34" bestFit="1" customWidth="1"/>
    <col min="31" max="33" width="12.28515625" style="34" bestFit="1" customWidth="1"/>
    <col min="34" max="16384" width="9.140625" style="34"/>
  </cols>
  <sheetData>
    <row r="2" spans="1:125">
      <c r="A2" s="281"/>
      <c r="C2" s="34">
        <v>1</v>
      </c>
      <c r="D2" s="34">
        <v>2</v>
      </c>
      <c r="E2" s="34">
        <v>3</v>
      </c>
      <c r="F2" s="34">
        <v>4</v>
      </c>
      <c r="G2" s="34">
        <v>5</v>
      </c>
      <c r="H2" s="34">
        <v>6</v>
      </c>
      <c r="I2" s="34">
        <v>7</v>
      </c>
      <c r="J2" s="34">
        <v>8</v>
      </c>
      <c r="K2" s="34">
        <v>9</v>
      </c>
      <c r="L2" s="34">
        <v>10</v>
      </c>
      <c r="M2" s="34">
        <v>11</v>
      </c>
      <c r="N2" s="34">
        <v>12</v>
      </c>
      <c r="O2" s="34">
        <v>13</v>
      </c>
      <c r="P2" s="34">
        <v>14</v>
      </c>
      <c r="Q2" s="34">
        <v>15</v>
      </c>
      <c r="R2" s="34">
        <v>16</v>
      </c>
      <c r="S2" s="34">
        <v>17</v>
      </c>
      <c r="T2" s="34">
        <v>18</v>
      </c>
      <c r="U2" s="34">
        <v>19</v>
      </c>
      <c r="V2" s="34">
        <v>20</v>
      </c>
      <c r="W2" s="34">
        <v>21</v>
      </c>
      <c r="X2" s="34">
        <v>22</v>
      </c>
      <c r="Y2" s="34">
        <v>23</v>
      </c>
      <c r="Z2" s="34">
        <v>24</v>
      </c>
      <c r="AA2" s="34">
        <v>25</v>
      </c>
      <c r="AB2" s="34">
        <v>26</v>
      </c>
      <c r="AC2" s="34">
        <v>27</v>
      </c>
      <c r="AD2" s="34">
        <v>28</v>
      </c>
      <c r="AE2" s="34">
        <v>29</v>
      </c>
      <c r="AF2" s="34">
        <v>30</v>
      </c>
      <c r="AG2" s="34">
        <v>31</v>
      </c>
    </row>
    <row r="3" spans="1:125" s="4" customFormat="1" ht="18" customHeight="1">
      <c r="A3" s="282" t="s">
        <v>182</v>
      </c>
      <c r="B3" s="276" t="s">
        <v>178</v>
      </c>
      <c r="C3" s="276" t="s">
        <v>144</v>
      </c>
      <c r="D3" s="276" t="s">
        <v>145</v>
      </c>
      <c r="E3" s="276" t="s">
        <v>146</v>
      </c>
      <c r="F3" s="276" t="s">
        <v>147</v>
      </c>
      <c r="G3" s="276" t="s">
        <v>148</v>
      </c>
      <c r="H3" s="276" t="s">
        <v>149</v>
      </c>
      <c r="I3" s="276" t="s">
        <v>150</v>
      </c>
      <c r="J3" s="276" t="s">
        <v>151</v>
      </c>
      <c r="K3" s="276" t="s">
        <v>152</v>
      </c>
      <c r="L3" s="276" t="s">
        <v>153</v>
      </c>
      <c r="M3" s="276" t="s">
        <v>154</v>
      </c>
      <c r="N3" s="276" t="s">
        <v>155</v>
      </c>
      <c r="O3" s="276" t="s">
        <v>156</v>
      </c>
      <c r="P3" s="276" t="s">
        <v>157</v>
      </c>
      <c r="Q3" s="276" t="s">
        <v>158</v>
      </c>
      <c r="R3" s="276" t="s">
        <v>159</v>
      </c>
      <c r="S3" s="276" t="s">
        <v>160</v>
      </c>
      <c r="T3" s="276" t="s">
        <v>161</v>
      </c>
      <c r="U3" s="276" t="s">
        <v>162</v>
      </c>
      <c r="V3" s="276" t="s">
        <v>163</v>
      </c>
      <c r="W3" s="276" t="s">
        <v>164</v>
      </c>
      <c r="X3" s="276" t="s">
        <v>165</v>
      </c>
      <c r="Y3" s="276" t="s">
        <v>166</v>
      </c>
      <c r="Z3" s="276" t="s">
        <v>167</v>
      </c>
      <c r="AA3" s="276" t="s">
        <v>168</v>
      </c>
      <c r="AB3" s="276" t="s">
        <v>169</v>
      </c>
      <c r="AC3" s="276" t="s">
        <v>170</v>
      </c>
      <c r="AD3" s="276" t="s">
        <v>171</v>
      </c>
      <c r="AE3" s="276" t="s">
        <v>172</v>
      </c>
      <c r="AF3" s="276" t="s">
        <v>173</v>
      </c>
      <c r="AG3" s="276" t="s">
        <v>174</v>
      </c>
      <c r="AH3" s="2"/>
      <c r="AI3" s="34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</row>
    <row r="4" spans="1:125">
      <c r="A4" s="281"/>
    </row>
    <row r="5" spans="1:125">
      <c r="A5" s="281" t="s">
        <v>204</v>
      </c>
      <c r="B5" s="283">
        <f>CF!B19</f>
        <v>0</v>
      </c>
      <c r="C5" s="283">
        <f ca="1">CF!C19</f>
        <v>53145.561937506296</v>
      </c>
      <c r="D5" s="283">
        <f ca="1">CF!D19</f>
        <v>60837.439433052787</v>
      </c>
      <c r="E5" s="283">
        <f ca="1">CF!E19</f>
        <v>62376.908000025607</v>
      </c>
      <c r="F5" s="283">
        <f ca="1">CF!F19</f>
        <v>61380.050866162695</v>
      </c>
      <c r="G5" s="283">
        <f ca="1">CF!G19</f>
        <v>67250.327390158956</v>
      </c>
      <c r="H5" s="283">
        <f ca="1">CF!H19</f>
        <v>69863.624625392375</v>
      </c>
      <c r="I5" s="283">
        <f ca="1">CF!I19</f>
        <v>44808.876747634262</v>
      </c>
      <c r="J5" s="283">
        <f ca="1">CF!J19</f>
        <v>74701.694816532137</v>
      </c>
      <c r="K5" s="283">
        <f ca="1">CF!K19</f>
        <v>77539.514101017383</v>
      </c>
      <c r="L5" s="283">
        <f ca="1">CF!L19</f>
        <v>80460.774178130087</v>
      </c>
      <c r="M5" s="283">
        <f ca="1">CF!M19</f>
        <v>83467.683704756782</v>
      </c>
      <c r="N5" s="283">
        <f ca="1">CF!N19</f>
        <v>40499.999895796878</v>
      </c>
      <c r="O5" s="283">
        <f ca="1">CF!O19</f>
        <v>88713.497721127933</v>
      </c>
      <c r="P5" s="283">
        <f ca="1">CF!P19</f>
        <v>91967.953181607765</v>
      </c>
      <c r="Q5" s="283">
        <f ca="1">CF!Q19</f>
        <v>95316.937982026371</v>
      </c>
      <c r="R5" s="283">
        <f ca="1">CF!R19</f>
        <v>98762.939210004639</v>
      </c>
      <c r="S5" s="283">
        <f ca="1">CF!S19</f>
        <v>41610.543199922191</v>
      </c>
      <c r="T5" s="283">
        <f ca="1">CF!T19</f>
        <v>104593.63113179582</v>
      </c>
      <c r="U5" s="283">
        <f ca="1">CF!U19</f>
        <v>108315.64236565738</v>
      </c>
      <c r="V5" s="283">
        <f ca="1">CF!V19</f>
        <v>112144.56720095291</v>
      </c>
      <c r="W5" s="283">
        <f ca="1">CF!W19</f>
        <v>120278.69879341801</v>
      </c>
      <c r="X5" s="283">
        <f ca="1">CF!X19</f>
        <v>47207.717327637947</v>
      </c>
      <c r="Y5" s="283">
        <f ca="1">CF!Y19</f>
        <v>122830.72109972697</v>
      </c>
      <c r="Z5" s="283">
        <f ca="1">CF!Z19</f>
        <v>127084.19951423595</v>
      </c>
      <c r="AA5" s="283">
        <f ca="1">CF!AA19</f>
        <v>131458.5975448119</v>
      </c>
      <c r="AB5" s="283">
        <f ca="1">CF!AB19</f>
        <v>135957.06209070142</v>
      </c>
      <c r="AC5" s="283">
        <f ca="1">CF!AC19</f>
        <v>56358.585791336838</v>
      </c>
      <c r="AD5" s="283">
        <f ca="1">CF!AD19</f>
        <v>143448.4047252771</v>
      </c>
      <c r="AE5" s="283">
        <f ca="1">CF!AE19</f>
        <v>148296.29344412172</v>
      </c>
      <c r="AF5" s="283">
        <f ca="1">CF!AF19</f>
        <v>153280.68232803245</v>
      </c>
      <c r="AG5" s="283">
        <f ca="1">CF!AG19</f>
        <v>158405.10606776422</v>
      </c>
    </row>
    <row r="6" spans="1:125">
      <c r="A6" s="281"/>
    </row>
    <row r="7" spans="1:125">
      <c r="A7" s="281" t="s">
        <v>183</v>
      </c>
      <c r="B7" s="284" t="e">
        <f>+B38</f>
        <v>#DIV/0!</v>
      </c>
      <c r="C7" s="284">
        <f ca="1">+C38</f>
        <v>7.142215876910854E-2</v>
      </c>
      <c r="D7" s="284">
        <f ca="1">+D38</f>
        <v>7.2970223544420121E-2</v>
      </c>
      <c r="E7" s="284">
        <f t="shared" ref="E7:J7" ca="1" si="0">+E38</f>
        <v>7.1621732319141443E-2</v>
      </c>
      <c r="F7" s="284">
        <f t="shared" ca="1" si="0"/>
        <v>7.0673798753729575E-2</v>
      </c>
      <c r="G7" s="284">
        <f t="shared" ca="1" si="0"/>
        <v>6.9618399257215829E-2</v>
      </c>
      <c r="H7" s="284">
        <f t="shared" ca="1" si="0"/>
        <v>6.8933938741853176E-2</v>
      </c>
      <c r="I7" s="284">
        <f t="shared" ca="1" si="0"/>
        <v>6.9886883155123702E-2</v>
      </c>
      <c r="J7" s="284">
        <f t="shared" ca="1" si="0"/>
        <v>6.9295009299078988E-2</v>
      </c>
      <c r="K7" s="284">
        <f t="shared" ref="K7:AG7" ca="1" si="1">+K38</f>
        <v>6.880468981728928E-2</v>
      </c>
      <c r="L7" s="284">
        <f t="shared" ca="1" si="1"/>
        <v>6.8399044310559043E-2</v>
      </c>
      <c r="M7" s="284">
        <f t="shared" ca="1" si="1"/>
        <v>6.806444953178091E-2</v>
      </c>
      <c r="N7" s="284">
        <f t="shared" ca="1" si="1"/>
        <v>6.9503045941377475E-2</v>
      </c>
      <c r="O7" s="284">
        <f t="shared" ca="1" si="1"/>
        <v>6.9148947489424128E-2</v>
      </c>
      <c r="P7" s="284">
        <f t="shared" ca="1" si="1"/>
        <v>6.8851171600135666E-2</v>
      </c>
      <c r="Q7" s="284">
        <f t="shared" ca="1" si="1"/>
        <v>6.8601867538229236E-2</v>
      </c>
      <c r="R7" s="284">
        <f t="shared" ca="1" si="1"/>
        <v>6.8394437675579317E-2</v>
      </c>
      <c r="S7" s="284">
        <f t="shared" ca="1" si="1"/>
        <v>6.9870666739028003E-2</v>
      </c>
      <c r="T7" s="284">
        <f t="shared" ca="1" si="1"/>
        <v>6.962129941582855E-2</v>
      </c>
      <c r="U7" s="284">
        <f t="shared" ca="1" si="1"/>
        <v>6.9408722914887741E-2</v>
      </c>
      <c r="V7" s="284">
        <f t="shared" ca="1" si="1"/>
        <v>6.9228508517324996E-2</v>
      </c>
      <c r="W7" s="284">
        <f t="shared" ca="1" si="1"/>
        <v>6.8986626097315498E-2</v>
      </c>
      <c r="X7" s="284">
        <f t="shared" ca="1" si="1"/>
        <v>7.0367082095599984E-2</v>
      </c>
      <c r="Y7" s="284">
        <f t="shared" ca="1" si="1"/>
        <v>7.0176632232027636E-2</v>
      </c>
      <c r="Z7" s="284">
        <f t="shared" ca="1" si="1"/>
        <v>7.0012368624241345E-2</v>
      </c>
      <c r="AA7" s="284">
        <f t="shared" ca="1" si="1"/>
        <v>6.9871504987786742E-2</v>
      </c>
      <c r="AB7" s="284">
        <f t="shared" ca="1" si="1"/>
        <v>6.9751582759123451E-2</v>
      </c>
      <c r="AC7" s="284">
        <f t="shared" ca="1" si="1"/>
        <v>7.0999138892345132E-2</v>
      </c>
      <c r="AD7" s="284">
        <f t="shared" ca="1" si="1"/>
        <v>7.0840859860926086E-2</v>
      </c>
      <c r="AE7" s="284">
        <f t="shared" ca="1" si="1"/>
        <v>7.0702565847012372E-2</v>
      </c>
      <c r="AF7" s="284">
        <f t="shared" ca="1" si="1"/>
        <v>7.0582352926259084E-2</v>
      </c>
      <c r="AG7" s="284">
        <f t="shared" ca="1" si="1"/>
        <v>7.0478514509044757E-2</v>
      </c>
    </row>
    <row r="8" spans="1:125">
      <c r="A8" s="281"/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</row>
    <row r="9" spans="1:125">
      <c r="A9" s="285" t="s">
        <v>182</v>
      </c>
      <c r="B9" s="286" t="e">
        <f>+B5/(1+B7)</f>
        <v>#DIV/0!</v>
      </c>
      <c r="C9" s="286">
        <f t="shared" ref="C9:J9" ca="1" si="2">+C5/(1+C7)^C2</f>
        <v>49602.821355274173</v>
      </c>
      <c r="D9" s="286">
        <f t="shared" ca="1" si="2"/>
        <v>52843.988235777659</v>
      </c>
      <c r="E9" s="286">
        <f t="shared" ca="1" si="2"/>
        <v>50687.31725667954</v>
      </c>
      <c r="F9" s="286">
        <f t="shared" ca="1" si="2"/>
        <v>46708.782211588936</v>
      </c>
      <c r="G9" s="286">
        <f t="shared" ca="1" si="2"/>
        <v>48034.146501749179</v>
      </c>
      <c r="H9" s="286">
        <f t="shared" ca="1" si="2"/>
        <v>46832.346319337921</v>
      </c>
      <c r="I9" s="286">
        <f t="shared" ca="1" si="2"/>
        <v>27925.375121020461</v>
      </c>
      <c r="J9" s="286">
        <f t="shared" ca="1" si="2"/>
        <v>43706.913275357954</v>
      </c>
      <c r="K9" s="286">
        <f t="shared" ref="K9:AG9" ca="1" si="3">+K5/(1+K7)^K2</f>
        <v>42602.777910966222</v>
      </c>
      <c r="L9" s="286">
        <f t="shared" ca="1" si="3"/>
        <v>41519.230726166192</v>
      </c>
      <c r="M9" s="286">
        <f t="shared" ca="1" si="3"/>
        <v>40452.587265204274</v>
      </c>
      <c r="N9" s="286">
        <f t="shared" ca="1" si="3"/>
        <v>18083.009595587097</v>
      </c>
      <c r="O9" s="286">
        <f t="shared" ca="1" si="3"/>
        <v>37195.717171654964</v>
      </c>
      <c r="P9" s="286">
        <f t="shared" ca="1" si="3"/>
        <v>36207.221125638251</v>
      </c>
      <c r="Q9" s="286">
        <f t="shared" ca="1" si="3"/>
        <v>35231.501286452643</v>
      </c>
      <c r="R9" s="286">
        <f t="shared" ca="1" si="3"/>
        <v>34267.949102916449</v>
      </c>
      <c r="S9" s="286">
        <f t="shared" ca="1" si="3"/>
        <v>13199.929717068677</v>
      </c>
      <c r="T9" s="286">
        <f t="shared" ca="1" si="3"/>
        <v>31143.289014542395</v>
      </c>
      <c r="U9" s="286">
        <f t="shared" ca="1" si="3"/>
        <v>30266.378404560572</v>
      </c>
      <c r="V9" s="286">
        <f t="shared" ca="1" si="3"/>
        <v>29401.375260109347</v>
      </c>
      <c r="W9" s="286">
        <f t="shared" ca="1" si="3"/>
        <v>29632.685520393272</v>
      </c>
      <c r="X9" s="286">
        <f t="shared" ca="1" si="3"/>
        <v>10575.298246556349</v>
      </c>
      <c r="Y9" s="286">
        <f t="shared" ca="1" si="3"/>
        <v>25812.575278873879</v>
      </c>
      <c r="Z9" s="286">
        <f t="shared" ca="1" si="3"/>
        <v>25047.270668014142</v>
      </c>
      <c r="AA9" s="286">
        <f t="shared" ca="1" si="3"/>
        <v>24293.969305618011</v>
      </c>
      <c r="AB9" s="286">
        <f t="shared" ca="1" si="3"/>
        <v>23552.954363020242</v>
      </c>
      <c r="AC9" s="286">
        <f t="shared" ca="1" si="3"/>
        <v>8844.1032130563362</v>
      </c>
      <c r="AD9" s="286">
        <f t="shared" ca="1" si="3"/>
        <v>21105.593417020791</v>
      </c>
      <c r="AE9" s="286">
        <f t="shared" ca="1" si="3"/>
        <v>20451.90830570093</v>
      </c>
      <c r="AF9" s="286">
        <f t="shared" ca="1" si="3"/>
        <v>19810.024569479767</v>
      </c>
      <c r="AG9" s="286">
        <f t="shared" ca="1" si="3"/>
        <v>19180.175239822587</v>
      </c>
    </row>
    <row r="10" spans="1:125">
      <c r="A10" s="281"/>
      <c r="B10" s="286"/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286"/>
      <c r="AE10" s="286"/>
      <c r="AF10" s="286"/>
      <c r="AG10" s="286"/>
    </row>
    <row r="11" spans="1:125" ht="15.75">
      <c r="A11" s="287" t="s">
        <v>184</v>
      </c>
      <c r="B11" s="286" t="e">
        <f>+B9</f>
        <v>#DIV/0!</v>
      </c>
      <c r="C11" s="286">
        <f ca="1">+C9</f>
        <v>49602.821355274173</v>
      </c>
      <c r="D11" s="286">
        <f ca="1">+C11+D9</f>
        <v>102446.80959105183</v>
      </c>
      <c r="E11" s="286">
        <f t="shared" ref="E11:J11" ca="1" si="4">+D11+E9</f>
        <v>153134.12684773136</v>
      </c>
      <c r="F11" s="286">
        <f t="shared" ca="1" si="4"/>
        <v>199842.90905932029</v>
      </c>
      <c r="G11" s="286">
        <f t="shared" ca="1" si="4"/>
        <v>247877.05556106946</v>
      </c>
      <c r="H11" s="286">
        <f t="shared" ca="1" si="4"/>
        <v>294709.40188040736</v>
      </c>
      <c r="I11" s="286">
        <f t="shared" ca="1" si="4"/>
        <v>322634.77700142784</v>
      </c>
      <c r="J11" s="286">
        <f t="shared" ca="1" si="4"/>
        <v>366341.69027678581</v>
      </c>
      <c r="K11" s="286">
        <f t="shared" ref="K11:AG11" ca="1" si="5">+J11+K9</f>
        <v>408944.46818775206</v>
      </c>
      <c r="L11" s="286">
        <f t="shared" ca="1" si="5"/>
        <v>450463.69891391823</v>
      </c>
      <c r="M11" s="286">
        <f t="shared" ca="1" si="5"/>
        <v>490916.28617912252</v>
      </c>
      <c r="N11" s="286">
        <f t="shared" ca="1" si="5"/>
        <v>508999.29577470961</v>
      </c>
      <c r="O11" s="286">
        <f t="shared" ca="1" si="5"/>
        <v>546195.01294636459</v>
      </c>
      <c r="P11" s="286">
        <f t="shared" ca="1" si="5"/>
        <v>582402.23407200282</v>
      </c>
      <c r="Q11" s="286">
        <f t="shared" ca="1" si="5"/>
        <v>617633.73535845545</v>
      </c>
      <c r="R11" s="286">
        <f t="shared" ca="1" si="5"/>
        <v>651901.68446137186</v>
      </c>
      <c r="S11" s="286">
        <f t="shared" ca="1" si="5"/>
        <v>665101.61417844053</v>
      </c>
      <c r="T11" s="286">
        <f t="shared" ca="1" si="5"/>
        <v>696244.90319298289</v>
      </c>
      <c r="U11" s="286">
        <f t="shared" ca="1" si="5"/>
        <v>726511.28159754351</v>
      </c>
      <c r="V11" s="286">
        <f t="shared" ca="1" si="5"/>
        <v>755912.65685765282</v>
      </c>
      <c r="W11" s="286">
        <f t="shared" ca="1" si="5"/>
        <v>785545.34237804613</v>
      </c>
      <c r="X11" s="286">
        <f t="shared" ca="1" si="5"/>
        <v>796120.64062460244</v>
      </c>
      <c r="Y11" s="286">
        <f t="shared" ca="1" si="5"/>
        <v>821933.21590347635</v>
      </c>
      <c r="Z11" s="286">
        <f t="shared" ca="1" si="5"/>
        <v>846980.48657149053</v>
      </c>
      <c r="AA11" s="286">
        <f t="shared" ca="1" si="5"/>
        <v>871274.4558771085</v>
      </c>
      <c r="AB11" s="286">
        <f t="shared" ca="1" si="5"/>
        <v>894827.41024012875</v>
      </c>
      <c r="AC11" s="286">
        <f t="shared" ca="1" si="5"/>
        <v>903671.51345318509</v>
      </c>
      <c r="AD11" s="286">
        <f t="shared" ca="1" si="5"/>
        <v>924777.10687020584</v>
      </c>
      <c r="AE11" s="286">
        <f t="shared" ca="1" si="5"/>
        <v>945229.01517590682</v>
      </c>
      <c r="AF11" s="286">
        <f t="shared" ca="1" si="5"/>
        <v>965039.03974538657</v>
      </c>
      <c r="AG11" s="286">
        <f t="shared" ca="1" si="5"/>
        <v>984219.21498520917</v>
      </c>
    </row>
    <row r="12" spans="1:125">
      <c r="A12" s="281"/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6"/>
      <c r="R12" s="286"/>
      <c r="S12" s="286"/>
      <c r="T12" s="286"/>
      <c r="U12" s="286"/>
      <c r="V12" s="286"/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</row>
    <row r="13" spans="1:125">
      <c r="A13" s="281" t="s">
        <v>185</v>
      </c>
      <c r="B13" s="286" t="e">
        <f t="shared" ref="B13:J13" si="6">+B5/(1+B7)</f>
        <v>#DIV/0!</v>
      </c>
      <c r="C13" s="286">
        <f t="shared" ca="1" si="6"/>
        <v>49602.821355274173</v>
      </c>
      <c r="D13" s="286">
        <f t="shared" ca="1" si="6"/>
        <v>56700.025870321057</v>
      </c>
      <c r="E13" s="286">
        <f t="shared" ca="1" si="6"/>
        <v>58207.953533224012</v>
      </c>
      <c r="F13" s="286">
        <f t="shared" ca="1" si="6"/>
        <v>57328.432747312414</v>
      </c>
      <c r="G13" s="286">
        <f t="shared" ca="1" si="6"/>
        <v>62873.196120093075</v>
      </c>
      <c r="H13" s="286">
        <f t="shared" ca="1" si="6"/>
        <v>65358.224763283884</v>
      </c>
      <c r="I13" s="286">
        <f t="shared" ca="1" si="6"/>
        <v>41881.88251779641</v>
      </c>
      <c r="J13" s="286">
        <f t="shared" ca="1" si="6"/>
        <v>69860.697157371906</v>
      </c>
      <c r="K13" s="286">
        <f t="shared" ref="K13:AG13" ca="1" si="7">+K5/(1+K7)</f>
        <v>72547.879738694493</v>
      </c>
      <c r="L13" s="286">
        <f t="shared" ca="1" si="7"/>
        <v>75309.66506063439</v>
      </c>
      <c r="M13" s="286">
        <f t="shared" ca="1" si="7"/>
        <v>78148.545943409525</v>
      </c>
      <c r="N13" s="286">
        <f t="shared" ca="1" si="7"/>
        <v>37868.054747005182</v>
      </c>
      <c r="O13" s="286">
        <f t="shared" ca="1" si="7"/>
        <v>82975.807935316217</v>
      </c>
      <c r="P13" s="286">
        <f t="shared" ca="1" si="7"/>
        <v>86043.740817466765</v>
      </c>
      <c r="Q13" s="286">
        <f t="shared" ca="1" si="7"/>
        <v>89197.802172675321</v>
      </c>
      <c r="R13" s="286">
        <f t="shared" ca="1" si="7"/>
        <v>92440.521709262437</v>
      </c>
      <c r="S13" s="286">
        <f t="shared" ca="1" si="7"/>
        <v>38893.059220654555</v>
      </c>
      <c r="T13" s="286">
        <f t="shared" ca="1" si="7"/>
        <v>97785.666000592377</v>
      </c>
      <c r="U13" s="286">
        <f t="shared" ca="1" si="7"/>
        <v>101285.54222974861</v>
      </c>
      <c r="V13" s="286">
        <f t="shared" ca="1" si="7"/>
        <v>104883.62993282067</v>
      </c>
      <c r="W13" s="286">
        <f t="shared" ca="1" si="7"/>
        <v>112516.56087834761</v>
      </c>
      <c r="X13" s="286">
        <f t="shared" ca="1" si="7"/>
        <v>44104.231265420756</v>
      </c>
      <c r="Y13" s="286">
        <f t="shared" ca="1" si="7"/>
        <v>114776.11956779836</v>
      </c>
      <c r="Z13" s="286">
        <f t="shared" ca="1" si="7"/>
        <v>118768.90701519021</v>
      </c>
      <c r="AA13" s="286">
        <f t="shared" ca="1" si="7"/>
        <v>122873.25808000895</v>
      </c>
      <c r="AB13" s="286">
        <f t="shared" ca="1" si="7"/>
        <v>127092.18128945264</v>
      </c>
      <c r="AC13" s="286">
        <f t="shared" ca="1" si="7"/>
        <v>52622.438006462202</v>
      </c>
      <c r="AD13" s="286">
        <f t="shared" ca="1" si="7"/>
        <v>133958.65819306453</v>
      </c>
      <c r="AE13" s="286">
        <f t="shared" ca="1" si="7"/>
        <v>138503.72472658395</v>
      </c>
      <c r="AF13" s="286">
        <f t="shared" ca="1" si="7"/>
        <v>143175.05039109336</v>
      </c>
      <c r="AG13" s="286">
        <f t="shared" ca="1" si="7"/>
        <v>147975.97889240572</v>
      </c>
    </row>
    <row r="14" spans="1:125">
      <c r="A14" s="281"/>
      <c r="B14" s="281"/>
      <c r="C14" s="281"/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</row>
    <row r="15" spans="1:125">
      <c r="A15" s="281" t="s">
        <v>186</v>
      </c>
      <c r="B15" s="288"/>
      <c r="C15" s="288">
        <f>+C34</f>
        <v>0.04</v>
      </c>
      <c r="D15" s="288">
        <f t="shared" ref="D15:J15" si="8">+D34</f>
        <v>0.04</v>
      </c>
      <c r="E15" s="288">
        <f t="shared" si="8"/>
        <v>0.04</v>
      </c>
      <c r="F15" s="288">
        <f t="shared" si="8"/>
        <v>0.04</v>
      </c>
      <c r="G15" s="288">
        <f t="shared" si="8"/>
        <v>0.04</v>
      </c>
      <c r="H15" s="288">
        <f t="shared" si="8"/>
        <v>0.04</v>
      </c>
      <c r="I15" s="288">
        <f t="shared" si="8"/>
        <v>0.04</v>
      </c>
      <c r="J15" s="288">
        <f t="shared" si="8"/>
        <v>0.04</v>
      </c>
      <c r="K15" s="288">
        <f t="shared" ref="K15:AG15" si="9">+K34</f>
        <v>0.04</v>
      </c>
      <c r="L15" s="288">
        <f t="shared" si="9"/>
        <v>0.04</v>
      </c>
      <c r="M15" s="288">
        <f t="shared" si="9"/>
        <v>0.04</v>
      </c>
      <c r="N15" s="288">
        <f t="shared" si="9"/>
        <v>0.04</v>
      </c>
      <c r="O15" s="288">
        <f t="shared" si="9"/>
        <v>0.04</v>
      </c>
      <c r="P15" s="288">
        <f t="shared" si="9"/>
        <v>0.04</v>
      </c>
      <c r="Q15" s="288">
        <f t="shared" si="9"/>
        <v>0.04</v>
      </c>
      <c r="R15" s="288">
        <f t="shared" si="9"/>
        <v>0.04</v>
      </c>
      <c r="S15" s="288">
        <f t="shared" si="9"/>
        <v>0.04</v>
      </c>
      <c r="T15" s="288">
        <f t="shared" si="9"/>
        <v>0.04</v>
      </c>
      <c r="U15" s="288">
        <f t="shared" si="9"/>
        <v>0.04</v>
      </c>
      <c r="V15" s="288">
        <f t="shared" si="9"/>
        <v>0.04</v>
      </c>
      <c r="W15" s="288">
        <f t="shared" si="9"/>
        <v>0.04</v>
      </c>
      <c r="X15" s="288">
        <f t="shared" si="9"/>
        <v>0.04</v>
      </c>
      <c r="Y15" s="288">
        <f t="shared" si="9"/>
        <v>0.04</v>
      </c>
      <c r="Z15" s="288">
        <f t="shared" si="9"/>
        <v>0.04</v>
      </c>
      <c r="AA15" s="288">
        <f t="shared" si="9"/>
        <v>0.04</v>
      </c>
      <c r="AB15" s="288">
        <f t="shared" si="9"/>
        <v>0.04</v>
      </c>
      <c r="AC15" s="288">
        <f t="shared" si="9"/>
        <v>0.04</v>
      </c>
      <c r="AD15" s="288">
        <f t="shared" si="9"/>
        <v>0.04</v>
      </c>
      <c r="AE15" s="288">
        <f t="shared" si="9"/>
        <v>0.04</v>
      </c>
      <c r="AF15" s="288">
        <f t="shared" si="9"/>
        <v>0.04</v>
      </c>
      <c r="AG15" s="288">
        <f t="shared" si="9"/>
        <v>0.04</v>
      </c>
    </row>
    <row r="16" spans="1:125">
      <c r="A16" s="281"/>
      <c r="B16" s="281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</row>
    <row r="17" spans="1:33">
      <c r="A17" s="281" t="s">
        <v>187</v>
      </c>
      <c r="B17" s="286" t="e">
        <f>+B13</f>
        <v>#DIV/0!</v>
      </c>
      <c r="C17" s="286">
        <f ca="1">+C13/(1+C15)^B2</f>
        <v>49602.821355274173</v>
      </c>
      <c r="D17" s="286">
        <f ca="1">+D13/(1+D15)^C2</f>
        <v>54519.255644539473</v>
      </c>
      <c r="E17" s="286">
        <f t="shared" ref="E17:J17" ca="1" si="10">+E13/(1+E15)^D2</f>
        <v>53816.525086190835</v>
      </c>
      <c r="F17" s="286">
        <f t="shared" ca="1" si="10"/>
        <v>50964.767960671168</v>
      </c>
      <c r="G17" s="286">
        <f t="shared" ca="1" si="10"/>
        <v>53744.271546889446</v>
      </c>
      <c r="H17" s="286">
        <f t="shared" ca="1" si="10"/>
        <v>53719.696582613324</v>
      </c>
      <c r="I17" s="286">
        <f t="shared" ca="1" si="10"/>
        <v>33099.860118737954</v>
      </c>
      <c r="J17" s="286">
        <f t="shared" ca="1" si="10"/>
        <v>53088.388212601654</v>
      </c>
      <c r="K17" s="286">
        <f t="shared" ref="K17:AG17" ca="1" si="11">+K13/(1+K15)^J2</f>
        <v>53010.025118725942</v>
      </c>
      <c r="L17" s="286">
        <f t="shared" ca="1" si="11"/>
        <v>52911.571732486227</v>
      </c>
      <c r="M17" s="286">
        <f t="shared" ca="1" si="11"/>
        <v>52794.357485204186</v>
      </c>
      <c r="N17" s="286">
        <f t="shared" ca="1" si="11"/>
        <v>24598.366279048456</v>
      </c>
      <c r="O17" s="286">
        <f t="shared" ca="1" si="11"/>
        <v>51826.444822920668</v>
      </c>
      <c r="P17" s="286">
        <f t="shared" ca="1" si="11"/>
        <v>51675.641009059196</v>
      </c>
      <c r="Q17" s="286">
        <f t="shared" ca="1" si="11"/>
        <v>51509.508197188727</v>
      </c>
      <c r="R17" s="286">
        <f t="shared" ca="1" si="11"/>
        <v>51328.940317449291</v>
      </c>
      <c r="S17" s="286">
        <f t="shared" ca="1" si="11"/>
        <v>20765.322295341051</v>
      </c>
      <c r="T17" s="286">
        <f t="shared" ca="1" si="11"/>
        <v>50200.544752501199</v>
      </c>
      <c r="U17" s="286">
        <f t="shared" ca="1" si="11"/>
        <v>49997.391896483256</v>
      </c>
      <c r="V17" s="286">
        <f t="shared" ca="1" si="11"/>
        <v>49782.22035440831</v>
      </c>
      <c r="W17" s="286">
        <f t="shared" ca="1" si="11"/>
        <v>51351.089616340832</v>
      </c>
      <c r="X17" s="286">
        <f t="shared" ca="1" si="11"/>
        <v>19354.418674789347</v>
      </c>
      <c r="Y17" s="286">
        <f t="shared" ca="1" si="11"/>
        <v>48430.401910486173</v>
      </c>
      <c r="Z17" s="286">
        <f t="shared" ca="1" si="11"/>
        <v>48187.673155446231</v>
      </c>
      <c r="AA17" s="286">
        <f t="shared" ca="1" si="11"/>
        <v>47935.496599638944</v>
      </c>
      <c r="AB17" s="286">
        <f t="shared" ca="1" si="11"/>
        <v>47674.412636780522</v>
      </c>
      <c r="AC17" s="286">
        <f t="shared" ca="1" si="11"/>
        <v>18980.346799799569</v>
      </c>
      <c r="AD17" s="286">
        <f t="shared" ca="1" si="11"/>
        <v>46459.082373903584</v>
      </c>
      <c r="AE17" s="286">
        <f t="shared" ca="1" si="11"/>
        <v>46187.871884689543</v>
      </c>
      <c r="AF17" s="286">
        <f t="shared" ca="1" si="11"/>
        <v>45909.282456553599</v>
      </c>
      <c r="AG17" s="286">
        <f t="shared" ca="1" si="11"/>
        <v>45623.756704169493</v>
      </c>
    </row>
    <row r="18" spans="1:33">
      <c r="A18" s="281"/>
      <c r="B18" s="281"/>
      <c r="C18" s="281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281"/>
      <c r="AF18" s="281"/>
      <c r="AG18" s="281"/>
    </row>
    <row r="19" spans="1:33">
      <c r="A19" s="281" t="s">
        <v>254</v>
      </c>
      <c r="B19" s="286" t="e">
        <f>+B17</f>
        <v>#DIV/0!</v>
      </c>
      <c r="C19" s="286">
        <f ca="1">+C17</f>
        <v>49602.821355274173</v>
      </c>
      <c r="D19" s="286">
        <f ca="1">+C19+D17</f>
        <v>104122.07699981364</v>
      </c>
      <c r="E19" s="286">
        <f t="shared" ref="E19:J19" ca="1" si="12">+D19+E17</f>
        <v>157938.60208600448</v>
      </c>
      <c r="F19" s="286">
        <f t="shared" ca="1" si="12"/>
        <v>208903.37004667564</v>
      </c>
      <c r="G19" s="286">
        <f t="shared" ca="1" si="12"/>
        <v>262647.64159356512</v>
      </c>
      <c r="H19" s="286">
        <f t="shared" ca="1" si="12"/>
        <v>316367.33817617845</v>
      </c>
      <c r="I19" s="286">
        <f t="shared" ca="1" si="12"/>
        <v>349467.19829491642</v>
      </c>
      <c r="J19" s="286">
        <f t="shared" ca="1" si="12"/>
        <v>402555.58650751808</v>
      </c>
      <c r="K19" s="286">
        <f t="shared" ref="K19:AG19" ca="1" si="13">+J19+K17</f>
        <v>455565.61162624403</v>
      </c>
      <c r="L19" s="286">
        <f t="shared" ca="1" si="13"/>
        <v>508477.18335873028</v>
      </c>
      <c r="M19" s="286">
        <f t="shared" ca="1" si="13"/>
        <v>561271.54084393452</v>
      </c>
      <c r="N19" s="286">
        <f t="shared" ca="1" si="13"/>
        <v>585869.90712298302</v>
      </c>
      <c r="O19" s="286">
        <f t="shared" ca="1" si="13"/>
        <v>637696.35194590373</v>
      </c>
      <c r="P19" s="286">
        <f t="shared" ca="1" si="13"/>
        <v>689371.99295496289</v>
      </c>
      <c r="Q19" s="286">
        <f t="shared" ca="1" si="13"/>
        <v>740881.50115215161</v>
      </c>
      <c r="R19" s="286">
        <f t="shared" ca="1" si="13"/>
        <v>792210.44146960089</v>
      </c>
      <c r="S19" s="286">
        <f t="shared" ca="1" si="13"/>
        <v>812975.76376494195</v>
      </c>
      <c r="T19" s="286">
        <f t="shared" ca="1" si="13"/>
        <v>863176.30851744313</v>
      </c>
      <c r="U19" s="286">
        <f t="shared" ca="1" si="13"/>
        <v>913173.70041392639</v>
      </c>
      <c r="V19" s="286">
        <f t="shared" ca="1" si="13"/>
        <v>962955.92076833465</v>
      </c>
      <c r="W19" s="286">
        <f t="shared" ca="1" si="13"/>
        <v>1014307.0103846755</v>
      </c>
      <c r="X19" s="286">
        <f t="shared" ca="1" si="13"/>
        <v>1033661.4290594648</v>
      </c>
      <c r="Y19" s="286">
        <f t="shared" ca="1" si="13"/>
        <v>1082091.8309699511</v>
      </c>
      <c r="Z19" s="286">
        <f t="shared" ca="1" si="13"/>
        <v>1130279.5041253974</v>
      </c>
      <c r="AA19" s="286">
        <f t="shared" ca="1" si="13"/>
        <v>1178215.0007250363</v>
      </c>
      <c r="AB19" s="286">
        <f t="shared" ca="1" si="13"/>
        <v>1225889.4133618167</v>
      </c>
      <c r="AC19" s="286">
        <f t="shared" ca="1" si="13"/>
        <v>1244869.7601616161</v>
      </c>
      <c r="AD19" s="286">
        <f t="shared" ca="1" si="13"/>
        <v>1291328.8425355197</v>
      </c>
      <c r="AE19" s="286">
        <f t="shared" ca="1" si="13"/>
        <v>1337516.7144202092</v>
      </c>
      <c r="AF19" s="286">
        <f t="shared" ca="1" si="13"/>
        <v>1383425.9968767627</v>
      </c>
      <c r="AG19" s="286">
        <f t="shared" ca="1" si="13"/>
        <v>1429049.7535809323</v>
      </c>
    </row>
    <row r="20" spans="1:33">
      <c r="A20" s="281"/>
    </row>
    <row r="21" spans="1:33">
      <c r="A21" s="281"/>
    </row>
    <row r="22" spans="1:33">
      <c r="A22" s="281"/>
    </row>
    <row r="23" spans="1:33">
      <c r="A23" s="281"/>
    </row>
    <row r="24" spans="1:33">
      <c r="A24" s="285" t="s">
        <v>188</v>
      </c>
    </row>
    <row r="25" spans="1:33">
      <c r="A25" s="281"/>
    </row>
    <row r="26" spans="1:33">
      <c r="A26" s="281" t="s">
        <v>202</v>
      </c>
      <c r="B26" s="283">
        <f>SP!B33</f>
        <v>0</v>
      </c>
      <c r="C26" s="283">
        <f ca="1">SP!C33</f>
        <v>28209.47555555556</v>
      </c>
      <c r="D26" s="283">
        <f ca="1">SP!D33</f>
        <v>48047.731162222226</v>
      </c>
      <c r="E26" s="283">
        <f ca="1">SP!E33</f>
        <v>68138.237114202217</v>
      </c>
      <c r="F26" s="283">
        <f ca="1">SP!F33</f>
        <v>85058.61256134462</v>
      </c>
      <c r="G26" s="283">
        <f ca="1">SP!G33</f>
        <v>105608.30349710969</v>
      </c>
      <c r="H26" s="283">
        <f ca="1">SP!H33</f>
        <v>126422.33917878277</v>
      </c>
      <c r="I26" s="283">
        <f ca="1">SP!I33</f>
        <v>120067.71580593128</v>
      </c>
      <c r="J26" s="283">
        <f ca="1">SP!J33</f>
        <v>141423.99895709325</v>
      </c>
      <c r="K26" s="283">
        <f ca="1">SP!K33</f>
        <v>163058.33892182494</v>
      </c>
      <c r="L26" s="283">
        <f ca="1">SP!L33</f>
        <v>184975.46266595711</v>
      </c>
      <c r="M26" s="283">
        <f ca="1">SP!M33</f>
        <v>207180.17751373947</v>
      </c>
      <c r="N26" s="283">
        <f ca="1">SP!N33</f>
        <v>184126.1596109313</v>
      </c>
      <c r="O26" s="283">
        <f ca="1">SP!O33</f>
        <v>206920.80692612927</v>
      </c>
      <c r="P26" s="283">
        <f ca="1">SP!P33</f>
        <v>230017.96324568565</v>
      </c>
      <c r="Q26" s="283">
        <f ca="1">SP!Q33</f>
        <v>253422.77122267449</v>
      </c>
      <c r="R26" s="283">
        <f ca="1">SP!R33</f>
        <v>277140.46093527216</v>
      </c>
      <c r="S26" s="283">
        <f ca="1">SP!S33</f>
        <v>241152.13596895506</v>
      </c>
      <c r="T26" s="283">
        <f ca="1">SP!T33</f>
        <v>265511.63654410798</v>
      </c>
      <c r="U26" s="283">
        <f ca="1">SP!U33</f>
        <v>290200.24862903845</v>
      </c>
      <c r="V26" s="283">
        <f ca="1">SP!V33</f>
        <v>315223.56711941276</v>
      </c>
      <c r="W26" s="283">
        <f ca="1">SP!W33</f>
        <v>344736.20797428978</v>
      </c>
      <c r="X26" s="283">
        <f ca="1">SP!X33</f>
        <v>298235.75368243619</v>
      </c>
      <c r="Y26" s="283">
        <f ca="1">SP!Y33</f>
        <v>324369.4507882669</v>
      </c>
      <c r="Z26" s="283">
        <f ca="1">SP!Z33</f>
        <v>350862.42074489675</v>
      </c>
      <c r="AA26" s="283">
        <f ca="1">SP!AA33</f>
        <v>377720.77119078924</v>
      </c>
      <c r="AB26" s="283">
        <f ca="1">SP!AB33</f>
        <v>404950.71359426202</v>
      </c>
      <c r="AC26" s="283">
        <f ca="1">SP!AC33</f>
        <v>349269.22174149612</v>
      </c>
      <c r="AD26" s="283">
        <f ca="1">SP!AD33</f>
        <v>377261.4066400415</v>
      </c>
      <c r="AE26" s="283">
        <f ca="1">SP!AE33</f>
        <v>405644.45868186216</v>
      </c>
      <c r="AF26" s="283">
        <f ca="1">SP!AF33</f>
        <v>434425.02260839375</v>
      </c>
      <c r="AG26" s="283">
        <f ca="1">SP!AG33</f>
        <v>463609.85612167639</v>
      </c>
    </row>
    <row r="27" spans="1:33">
      <c r="A27" s="281" t="s">
        <v>203</v>
      </c>
      <c r="B27" s="283">
        <f>SP!B39</f>
        <v>0</v>
      </c>
      <c r="C27" s="283">
        <f ca="1">SP!C39</f>
        <v>196988.18159243811</v>
      </c>
      <c r="D27" s="283">
        <f ca="1">SP!D39</f>
        <v>469935.27020833699</v>
      </c>
      <c r="E27" s="283">
        <f ca="1">SP!E39</f>
        <v>494221.67225638265</v>
      </c>
      <c r="F27" s="283">
        <f ca="1">SP!F39</f>
        <v>520681.34767540288</v>
      </c>
      <c r="G27" s="283">
        <f ca="1">SP!G39</f>
        <v>549381.98412979674</v>
      </c>
      <c r="H27" s="283">
        <f ca="1">SP!H39</f>
        <v>598431.57307351602</v>
      </c>
      <c r="I27" s="283">
        <f ca="1">SP!I39</f>
        <v>649595.07319400168</v>
      </c>
      <c r="J27" s="283">
        <f ca="1">SP!J39</f>
        <v>702940.48485937179</v>
      </c>
      <c r="K27" s="283">
        <f ca="1">SP!K39</f>
        <v>758845.65899565758</v>
      </c>
      <c r="L27" s="283">
        <f ca="1">SP!L39</f>
        <v>817389.30942965555</v>
      </c>
      <c r="M27" s="283">
        <f ca="1">SP!M39</f>
        <v>878652.27828662994</v>
      </c>
      <c r="N27" s="283">
        <f ca="1">SP!N39</f>
        <v>942206.29608523508</v>
      </c>
      <c r="O27" s="283">
        <f ca="1">SP!O39</f>
        <v>1008125.146491165</v>
      </c>
      <c r="P27" s="283">
        <f ca="1">SP!P39</f>
        <v>1076995.9433532164</v>
      </c>
      <c r="Q27" s="283">
        <f ca="1">SP!Q39</f>
        <v>1148908.073358254</v>
      </c>
      <c r="R27" s="283">
        <f ca="1">SP!R39</f>
        <v>1223953.3228556612</v>
      </c>
      <c r="S27" s="283">
        <f ca="1">SP!S39</f>
        <v>1301552.1910219006</v>
      </c>
      <c r="T27" s="283">
        <f ca="1">SP!T39</f>
        <v>1381786.3215785434</v>
      </c>
      <c r="U27" s="283">
        <f ca="1">SP!U39</f>
        <v>1465413.3518592701</v>
      </c>
      <c r="V27" s="283">
        <f ca="1">SP!V39</f>
        <v>1552534.6005698489</v>
      </c>
      <c r="W27" s="283">
        <f ca="1">SP!W39</f>
        <v>1643300.6585083897</v>
      </c>
      <c r="X27" s="283">
        <f ca="1">SP!X39</f>
        <v>1737008.8301278814</v>
      </c>
      <c r="Y27" s="283">
        <f ca="1">SP!Y39</f>
        <v>1833705.8541217777</v>
      </c>
      <c r="Z27" s="283">
        <f ca="1">SP!Z39</f>
        <v>1934297.0836793839</v>
      </c>
      <c r="AA27" s="283">
        <f ca="1">SP!AA39</f>
        <v>2038897.3307783033</v>
      </c>
      <c r="AB27" s="283">
        <f ca="1">SP!AB39</f>
        <v>2147624.450465532</v>
      </c>
      <c r="AC27" s="283">
        <f ca="1">SP!AC39</f>
        <v>2259664.5281096348</v>
      </c>
      <c r="AD27" s="283">
        <f ca="1">SP!AD39</f>
        <v>2375120.7479363666</v>
      </c>
      <c r="AE27" s="283">
        <f ca="1">SP!AE39</f>
        <v>2495033.9893386671</v>
      </c>
      <c r="AF27" s="283">
        <f ca="1">SP!AF39</f>
        <v>2619534.107740168</v>
      </c>
      <c r="AG27" s="283">
        <f ca="1">SP!AG39</f>
        <v>2748754.3802946499</v>
      </c>
    </row>
    <row r="28" spans="1:33">
      <c r="A28" s="281" t="s">
        <v>189</v>
      </c>
      <c r="B28" s="289" t="e">
        <f t="shared" ref="B28:V28" si="14">+B26/(B26+B27)</f>
        <v>#DIV/0!</v>
      </c>
      <c r="C28" s="289">
        <f t="shared" ca="1" si="14"/>
        <v>0.12526540423560922</v>
      </c>
      <c r="D28" s="289">
        <f t="shared" ca="1" si="14"/>
        <v>9.2759281743011138E-2</v>
      </c>
      <c r="E28" s="289">
        <f t="shared" ca="1" si="14"/>
        <v>0.12116481985791837</v>
      </c>
      <c r="F28" s="289">
        <f t="shared" ca="1" si="14"/>
        <v>0.14042100264955329</v>
      </c>
      <c r="G28" s="289">
        <f t="shared" ca="1" si="14"/>
        <v>0.16123644196273332</v>
      </c>
      <c r="H28" s="289">
        <f t="shared" ca="1" si="14"/>
        <v>0.17441078407917751</v>
      </c>
      <c r="I28" s="289">
        <f t="shared" ca="1" si="14"/>
        <v>0.1560004167044923</v>
      </c>
      <c r="J28" s="289">
        <f t="shared" ca="1" si="14"/>
        <v>0.16749164805922109</v>
      </c>
      <c r="K28" s="289">
        <f t="shared" ca="1" si="14"/>
        <v>0.17687127866910488</v>
      </c>
      <c r="L28" s="289">
        <f t="shared" ca="1" si="14"/>
        <v>0.18453906982308915</v>
      </c>
      <c r="M28" s="289">
        <f t="shared" ca="1" si="14"/>
        <v>0.19080308053697523</v>
      </c>
      <c r="N28" s="289">
        <f t="shared" ca="1" si="14"/>
        <v>0.16347407790635504</v>
      </c>
      <c r="O28" s="289">
        <f t="shared" ca="1" si="14"/>
        <v>0.17029874989021471</v>
      </c>
      <c r="P28" s="289">
        <f t="shared" ca="1" si="14"/>
        <v>0.17598738780388037</v>
      </c>
      <c r="Q28" s="289">
        <f t="shared" ca="1" si="14"/>
        <v>0.18071539408976428</v>
      </c>
      <c r="R28" s="289">
        <f t="shared" ca="1" si="14"/>
        <v>0.18462568023922429</v>
      </c>
      <c r="S28" s="289">
        <f t="shared" ca="1" si="14"/>
        <v>0.15631779320885025</v>
      </c>
      <c r="T28" s="289">
        <f t="shared" ca="1" si="14"/>
        <v>0.16118009206221515</v>
      </c>
      <c r="U28" s="289">
        <f t="shared" ca="1" si="14"/>
        <v>0.16529847373495044</v>
      </c>
      <c r="V28" s="289">
        <f t="shared" ca="1" si="14"/>
        <v>0.16877108213072284</v>
      </c>
      <c r="W28" s="289">
        <f t="shared" ref="W28:AG28" ca="1" si="15">+W26/(W26+W27)</f>
        <v>0.1734053396022841</v>
      </c>
      <c r="X28" s="289">
        <f t="shared" ca="1" si="15"/>
        <v>0.14653558400538233</v>
      </c>
      <c r="Y28" s="289">
        <f t="shared" ca="1" si="15"/>
        <v>0.15030497316301372</v>
      </c>
      <c r="Z28" s="289">
        <f t="shared" ca="1" si="15"/>
        <v>0.15353957571259014</v>
      </c>
      <c r="AA28" s="289">
        <f t="shared" ca="1" si="15"/>
        <v>0.15630139113955049</v>
      </c>
      <c r="AB28" s="289">
        <f t="shared" ca="1" si="15"/>
        <v>0.158643991877677</v>
      </c>
      <c r="AC28" s="289">
        <f t="shared" ca="1" si="15"/>
        <v>0.13387431618814616</v>
      </c>
      <c r="AD28" s="289">
        <f t="shared" ca="1" si="15"/>
        <v>0.1370672332011621</v>
      </c>
      <c r="AE28" s="289">
        <f t="shared" ca="1" si="15"/>
        <v>0.13984468321839691</v>
      </c>
      <c r="AF28" s="289">
        <f t="shared" ca="1" si="15"/>
        <v>0.14224978268088706</v>
      </c>
      <c r="AG28" s="289">
        <f t="shared" ca="1" si="15"/>
        <v>0.14432045123216594</v>
      </c>
    </row>
    <row r="29" spans="1:33">
      <c r="A29" s="281" t="s">
        <v>190</v>
      </c>
      <c r="B29" s="289" t="e">
        <f>+B27/(B26+B27)</f>
        <v>#DIV/0!</v>
      </c>
      <c r="C29" s="289">
        <f ca="1">+C27/(C26+C27)</f>
        <v>0.87473459576439072</v>
      </c>
      <c r="D29" s="289">
        <f ca="1">+D27/(D26+D27)</f>
        <v>0.90724071825698893</v>
      </c>
      <c r="E29" s="289">
        <f ca="1">+E27/(E26+E27)</f>
        <v>0.87883518014208162</v>
      </c>
      <c r="F29" s="289">
        <f ca="1">+F27/(F26+F27)</f>
        <v>0.85957899735044674</v>
      </c>
      <c r="G29" s="289">
        <f t="shared" ref="G29:V29" ca="1" si="16">+G27/(G26+G27)</f>
        <v>0.83876355803726677</v>
      </c>
      <c r="H29" s="289">
        <f t="shared" ca="1" si="16"/>
        <v>0.82558921592082246</v>
      </c>
      <c r="I29" s="289">
        <f t="shared" ca="1" si="16"/>
        <v>0.84399958329550773</v>
      </c>
      <c r="J29" s="289">
        <f t="shared" ca="1" si="16"/>
        <v>0.83250835194077888</v>
      </c>
      <c r="K29" s="289">
        <f t="shared" ca="1" si="16"/>
        <v>0.8231287213308951</v>
      </c>
      <c r="L29" s="289">
        <f t="shared" ca="1" si="16"/>
        <v>0.81546093017691079</v>
      </c>
      <c r="M29" s="289">
        <f t="shared" ca="1" si="16"/>
        <v>0.80919691946302486</v>
      </c>
      <c r="N29" s="289">
        <f t="shared" ca="1" si="16"/>
        <v>0.83652592209364485</v>
      </c>
      <c r="O29" s="289">
        <f t="shared" ca="1" si="16"/>
        <v>0.82970125010978535</v>
      </c>
      <c r="P29" s="289">
        <f t="shared" ca="1" si="16"/>
        <v>0.82401261219611965</v>
      </c>
      <c r="Q29" s="289">
        <f t="shared" ca="1" si="16"/>
        <v>0.81928460591023566</v>
      </c>
      <c r="R29" s="289">
        <f t="shared" ca="1" si="16"/>
        <v>0.81537431976077568</v>
      </c>
      <c r="S29" s="289">
        <f t="shared" ca="1" si="16"/>
        <v>0.8436822067911498</v>
      </c>
      <c r="T29" s="289">
        <f t="shared" ca="1" si="16"/>
        <v>0.83881990793778494</v>
      </c>
      <c r="U29" s="289">
        <f t="shared" ca="1" si="16"/>
        <v>0.83470152626504956</v>
      </c>
      <c r="V29" s="289">
        <f t="shared" ca="1" si="16"/>
        <v>0.83122891786927711</v>
      </c>
      <c r="W29" s="289">
        <f t="shared" ref="W29:AG29" ca="1" si="17">+W27/(W26+W27)</f>
        <v>0.8265946603977159</v>
      </c>
      <c r="X29" s="289">
        <f t="shared" ca="1" si="17"/>
        <v>0.85346441599461764</v>
      </c>
      <c r="Y29" s="289">
        <f t="shared" ca="1" si="17"/>
        <v>0.84969502683698628</v>
      </c>
      <c r="Z29" s="289">
        <f t="shared" ca="1" si="17"/>
        <v>0.84646042428740997</v>
      </c>
      <c r="AA29" s="289">
        <f t="shared" ca="1" si="17"/>
        <v>0.84369860886044945</v>
      </c>
      <c r="AB29" s="289">
        <f t="shared" ca="1" si="17"/>
        <v>0.84135600812232303</v>
      </c>
      <c r="AC29" s="289">
        <f t="shared" ca="1" si="17"/>
        <v>0.86612568381185384</v>
      </c>
      <c r="AD29" s="289">
        <f t="shared" ca="1" si="17"/>
        <v>0.8629327667988379</v>
      </c>
      <c r="AE29" s="289">
        <f t="shared" ca="1" si="17"/>
        <v>0.86015531678160306</v>
      </c>
      <c r="AF29" s="289">
        <f t="shared" ca="1" si="17"/>
        <v>0.85775021731911294</v>
      </c>
      <c r="AG29" s="289">
        <f t="shared" ca="1" si="17"/>
        <v>0.85567954876783403</v>
      </c>
    </row>
    <row r="30" spans="1:33">
      <c r="A30" s="281" t="s">
        <v>211</v>
      </c>
      <c r="B30" s="289">
        <v>3.9249999999999997E-3</v>
      </c>
      <c r="C30" s="289">
        <v>3.9249999999999997E-3</v>
      </c>
      <c r="D30" s="289">
        <v>3.9249999999999997E-3</v>
      </c>
      <c r="E30" s="289">
        <v>3.9249999999999997E-3</v>
      </c>
      <c r="F30" s="289">
        <v>3.9249999999999997E-3</v>
      </c>
      <c r="G30" s="289">
        <v>3.9249999999999997E-3</v>
      </c>
      <c r="H30" s="289">
        <v>3.9249999999999997E-3</v>
      </c>
      <c r="I30" s="289">
        <v>3.9249999999999997E-3</v>
      </c>
      <c r="J30" s="289">
        <v>3.9249999999999997E-3</v>
      </c>
      <c r="K30" s="289">
        <v>3.9249999999999997E-3</v>
      </c>
      <c r="L30" s="289">
        <v>3.9249999999999997E-3</v>
      </c>
      <c r="M30" s="289">
        <v>3.9249999999999997E-3</v>
      </c>
      <c r="N30" s="289">
        <v>3.9249999999999997E-3</v>
      </c>
      <c r="O30" s="289">
        <v>3.9249999999999997E-3</v>
      </c>
      <c r="P30" s="289">
        <v>3.9249999999999997E-3</v>
      </c>
      <c r="Q30" s="289">
        <v>3.9249999999999997E-3</v>
      </c>
      <c r="R30" s="289">
        <v>3.9249999999999997E-3</v>
      </c>
      <c r="S30" s="289">
        <v>3.9249999999999997E-3</v>
      </c>
      <c r="T30" s="289">
        <v>3.9249999999999997E-3</v>
      </c>
      <c r="U30" s="289">
        <v>3.9249999999999997E-3</v>
      </c>
      <c r="V30" s="289">
        <v>3.9249999999999997E-3</v>
      </c>
      <c r="W30" s="289">
        <v>3.9249999999999997E-3</v>
      </c>
      <c r="X30" s="289">
        <v>3.9249999999999997E-3</v>
      </c>
      <c r="Y30" s="289">
        <v>3.9249999999999997E-3</v>
      </c>
      <c r="Z30" s="289">
        <v>3.9249999999999997E-3</v>
      </c>
      <c r="AA30" s="289">
        <v>3.9249999999999997E-3</v>
      </c>
      <c r="AB30" s="289">
        <v>3.9249999999999997E-3</v>
      </c>
      <c r="AC30" s="289">
        <v>3.9249999999999997E-3</v>
      </c>
      <c r="AD30" s="289">
        <v>3.9249999999999997E-3</v>
      </c>
      <c r="AE30" s="289">
        <v>3.9249999999999997E-3</v>
      </c>
      <c r="AF30" s="289">
        <v>3.9249999999999997E-3</v>
      </c>
      <c r="AG30" s="289">
        <v>3.9249999999999997E-3</v>
      </c>
    </row>
    <row r="31" spans="1:33">
      <c r="A31" s="281" t="s">
        <v>215</v>
      </c>
      <c r="B31" s="289">
        <f>Ipotesi!B15</f>
        <v>5.5E-2</v>
      </c>
      <c r="C31" s="289">
        <f>Ipotesi!C15</f>
        <v>5.5E-2</v>
      </c>
      <c r="D31" s="289">
        <f>Ipotesi!D15</f>
        <v>5.5E-2</v>
      </c>
      <c r="E31" s="289">
        <f>Ipotesi!E15</f>
        <v>5.5E-2</v>
      </c>
      <c r="F31" s="289">
        <f>Ipotesi!F15</f>
        <v>5.5E-2</v>
      </c>
      <c r="G31" s="289">
        <f>Ipotesi!G15</f>
        <v>5.5E-2</v>
      </c>
      <c r="H31" s="289">
        <f>Ipotesi!H15</f>
        <v>5.5E-2</v>
      </c>
      <c r="I31" s="289">
        <f>Ipotesi!I15</f>
        <v>5.5E-2</v>
      </c>
      <c r="J31" s="289">
        <f>Ipotesi!J15</f>
        <v>5.5E-2</v>
      </c>
      <c r="K31" s="289">
        <f>Ipotesi!K15</f>
        <v>5.5E-2</v>
      </c>
      <c r="L31" s="289">
        <f>Ipotesi!L15</f>
        <v>5.5E-2</v>
      </c>
      <c r="M31" s="289">
        <f>Ipotesi!M15</f>
        <v>5.5E-2</v>
      </c>
      <c r="N31" s="289">
        <f>Ipotesi!N15</f>
        <v>5.5E-2</v>
      </c>
      <c r="O31" s="289">
        <f>Ipotesi!O15</f>
        <v>5.5E-2</v>
      </c>
      <c r="P31" s="289">
        <f>Ipotesi!P15</f>
        <v>5.5E-2</v>
      </c>
      <c r="Q31" s="289">
        <f>Ipotesi!Q15</f>
        <v>5.5E-2</v>
      </c>
      <c r="R31" s="289">
        <f>Ipotesi!R15</f>
        <v>5.5E-2</v>
      </c>
      <c r="S31" s="289">
        <f>Ipotesi!S15</f>
        <v>5.5E-2</v>
      </c>
      <c r="T31" s="289">
        <f>Ipotesi!T15</f>
        <v>5.5E-2</v>
      </c>
      <c r="U31" s="289">
        <f>Ipotesi!U15</f>
        <v>5.5E-2</v>
      </c>
      <c r="V31" s="289">
        <f>Ipotesi!V15</f>
        <v>5.5E-2</v>
      </c>
      <c r="W31" s="289">
        <f>Ipotesi!W15</f>
        <v>5.5E-2</v>
      </c>
      <c r="X31" s="289">
        <f>Ipotesi!X15</f>
        <v>5.5E-2</v>
      </c>
      <c r="Y31" s="289">
        <f>Ipotesi!Y15</f>
        <v>5.5E-2</v>
      </c>
      <c r="Z31" s="289">
        <f>Ipotesi!Z15</f>
        <v>5.5E-2</v>
      </c>
      <c r="AA31" s="289">
        <f>Ipotesi!AA15</f>
        <v>5.5E-2</v>
      </c>
      <c r="AB31" s="289">
        <f>Ipotesi!AB15</f>
        <v>5.5E-2</v>
      </c>
      <c r="AC31" s="289">
        <f>Ipotesi!AC15</f>
        <v>5.5E-2</v>
      </c>
      <c r="AD31" s="289">
        <f>Ipotesi!AD15</f>
        <v>5.5E-2</v>
      </c>
      <c r="AE31" s="289">
        <f>Ipotesi!AE15</f>
        <v>5.5E-2</v>
      </c>
      <c r="AF31" s="289">
        <f>Ipotesi!AF15</f>
        <v>5.5E-2</v>
      </c>
      <c r="AG31" s="289">
        <f>Ipotesi!AG15</f>
        <v>5.5E-2</v>
      </c>
    </row>
    <row r="32" spans="1:33">
      <c r="A32" s="281" t="s">
        <v>212</v>
      </c>
      <c r="B32" s="304">
        <f>B31/100*(1-B30)</f>
        <v>5.4784125000000006E-4</v>
      </c>
      <c r="C32" s="304">
        <f t="shared" ref="C32:V32" si="18">C31/100*(1-C30)</f>
        <v>5.4784125000000006E-4</v>
      </c>
      <c r="D32" s="304">
        <f t="shared" si="18"/>
        <v>5.4784125000000006E-4</v>
      </c>
      <c r="E32" s="304">
        <f t="shared" si="18"/>
        <v>5.4784125000000006E-4</v>
      </c>
      <c r="F32" s="304">
        <f t="shared" si="18"/>
        <v>5.4784125000000006E-4</v>
      </c>
      <c r="G32" s="304">
        <f t="shared" si="18"/>
        <v>5.4784125000000006E-4</v>
      </c>
      <c r="H32" s="304">
        <f t="shared" si="18"/>
        <v>5.4784125000000006E-4</v>
      </c>
      <c r="I32" s="304">
        <f t="shared" si="18"/>
        <v>5.4784125000000006E-4</v>
      </c>
      <c r="J32" s="304">
        <f t="shared" si="18"/>
        <v>5.4784125000000006E-4</v>
      </c>
      <c r="K32" s="304">
        <f t="shared" si="18"/>
        <v>5.4784125000000006E-4</v>
      </c>
      <c r="L32" s="304">
        <f t="shared" si="18"/>
        <v>5.4784125000000006E-4</v>
      </c>
      <c r="M32" s="304">
        <f t="shared" si="18"/>
        <v>5.4784125000000006E-4</v>
      </c>
      <c r="N32" s="304">
        <f t="shared" si="18"/>
        <v>5.4784125000000006E-4</v>
      </c>
      <c r="O32" s="304">
        <f t="shared" si="18"/>
        <v>5.4784125000000006E-4</v>
      </c>
      <c r="P32" s="304">
        <f t="shared" si="18"/>
        <v>5.4784125000000006E-4</v>
      </c>
      <c r="Q32" s="304">
        <f t="shared" si="18"/>
        <v>5.4784125000000006E-4</v>
      </c>
      <c r="R32" s="304">
        <f t="shared" si="18"/>
        <v>5.4784125000000006E-4</v>
      </c>
      <c r="S32" s="304">
        <f t="shared" si="18"/>
        <v>5.4784125000000006E-4</v>
      </c>
      <c r="T32" s="304">
        <f t="shared" si="18"/>
        <v>5.4784125000000006E-4</v>
      </c>
      <c r="U32" s="304">
        <f t="shared" si="18"/>
        <v>5.4784125000000006E-4</v>
      </c>
      <c r="V32" s="304">
        <f t="shared" si="18"/>
        <v>5.4784125000000006E-4</v>
      </c>
      <c r="W32" s="304">
        <f t="shared" ref="W32:AG32" si="19">W31/100*(1-W30)</f>
        <v>5.4784125000000006E-4</v>
      </c>
      <c r="X32" s="304">
        <f t="shared" si="19"/>
        <v>5.4784125000000006E-4</v>
      </c>
      <c r="Y32" s="304">
        <f t="shared" si="19"/>
        <v>5.4784125000000006E-4</v>
      </c>
      <c r="Z32" s="304">
        <f t="shared" si="19"/>
        <v>5.4784125000000006E-4</v>
      </c>
      <c r="AA32" s="304">
        <f t="shared" si="19"/>
        <v>5.4784125000000006E-4</v>
      </c>
      <c r="AB32" s="304">
        <f t="shared" si="19"/>
        <v>5.4784125000000006E-4</v>
      </c>
      <c r="AC32" s="304">
        <f t="shared" si="19"/>
        <v>5.4784125000000006E-4</v>
      </c>
      <c r="AD32" s="304">
        <f t="shared" si="19"/>
        <v>5.4784125000000006E-4</v>
      </c>
      <c r="AE32" s="304">
        <f t="shared" si="19"/>
        <v>5.4784125000000006E-4</v>
      </c>
      <c r="AF32" s="304">
        <f t="shared" si="19"/>
        <v>5.4784125000000006E-4</v>
      </c>
      <c r="AG32" s="304">
        <f t="shared" si="19"/>
        <v>5.4784125000000006E-4</v>
      </c>
    </row>
    <row r="33" spans="1:33">
      <c r="A33" s="290" t="s">
        <v>191</v>
      </c>
      <c r="B33" s="291"/>
      <c r="C33" s="291">
        <f>$E$58</f>
        <v>0.6160000000000001</v>
      </c>
      <c r="D33" s="291">
        <f t="shared" ref="D33:AG33" si="20">$E$58</f>
        <v>0.6160000000000001</v>
      </c>
      <c r="E33" s="291">
        <f t="shared" si="20"/>
        <v>0.6160000000000001</v>
      </c>
      <c r="F33" s="291">
        <f t="shared" si="20"/>
        <v>0.6160000000000001</v>
      </c>
      <c r="G33" s="291">
        <f t="shared" si="20"/>
        <v>0.6160000000000001</v>
      </c>
      <c r="H33" s="291">
        <f t="shared" si="20"/>
        <v>0.6160000000000001</v>
      </c>
      <c r="I33" s="291">
        <f t="shared" si="20"/>
        <v>0.6160000000000001</v>
      </c>
      <c r="J33" s="291">
        <f t="shared" si="20"/>
        <v>0.6160000000000001</v>
      </c>
      <c r="K33" s="291">
        <f t="shared" si="20"/>
        <v>0.6160000000000001</v>
      </c>
      <c r="L33" s="291">
        <f t="shared" si="20"/>
        <v>0.6160000000000001</v>
      </c>
      <c r="M33" s="291">
        <f t="shared" si="20"/>
        <v>0.6160000000000001</v>
      </c>
      <c r="N33" s="291">
        <f t="shared" si="20"/>
        <v>0.6160000000000001</v>
      </c>
      <c r="O33" s="291">
        <f t="shared" si="20"/>
        <v>0.6160000000000001</v>
      </c>
      <c r="P33" s="291">
        <f t="shared" si="20"/>
        <v>0.6160000000000001</v>
      </c>
      <c r="Q33" s="291">
        <f t="shared" si="20"/>
        <v>0.6160000000000001</v>
      </c>
      <c r="R33" s="291">
        <f t="shared" si="20"/>
        <v>0.6160000000000001</v>
      </c>
      <c r="S33" s="291">
        <f t="shared" si="20"/>
        <v>0.6160000000000001</v>
      </c>
      <c r="T33" s="291">
        <f t="shared" si="20"/>
        <v>0.6160000000000001</v>
      </c>
      <c r="U33" s="291">
        <f t="shared" si="20"/>
        <v>0.6160000000000001</v>
      </c>
      <c r="V33" s="291">
        <f t="shared" si="20"/>
        <v>0.6160000000000001</v>
      </c>
      <c r="W33" s="291">
        <f t="shared" si="20"/>
        <v>0.6160000000000001</v>
      </c>
      <c r="X33" s="291">
        <f t="shared" si="20"/>
        <v>0.6160000000000001</v>
      </c>
      <c r="Y33" s="291">
        <f t="shared" si="20"/>
        <v>0.6160000000000001</v>
      </c>
      <c r="Z33" s="291">
        <f t="shared" si="20"/>
        <v>0.6160000000000001</v>
      </c>
      <c r="AA33" s="291">
        <f t="shared" si="20"/>
        <v>0.6160000000000001</v>
      </c>
      <c r="AB33" s="291">
        <f t="shared" si="20"/>
        <v>0.6160000000000001</v>
      </c>
      <c r="AC33" s="291">
        <f t="shared" si="20"/>
        <v>0.6160000000000001</v>
      </c>
      <c r="AD33" s="291">
        <f t="shared" si="20"/>
        <v>0.6160000000000001</v>
      </c>
      <c r="AE33" s="291">
        <f t="shared" si="20"/>
        <v>0.6160000000000001</v>
      </c>
      <c r="AF33" s="291">
        <f t="shared" si="20"/>
        <v>0.6160000000000001</v>
      </c>
      <c r="AG33" s="291">
        <f t="shared" si="20"/>
        <v>0.6160000000000001</v>
      </c>
    </row>
    <row r="34" spans="1:33" s="315" customFormat="1">
      <c r="A34" s="313" t="s">
        <v>192</v>
      </c>
      <c r="B34" s="314"/>
      <c r="C34" s="314">
        <v>0.04</v>
      </c>
      <c r="D34" s="314">
        <v>0.04</v>
      </c>
      <c r="E34" s="314">
        <v>0.04</v>
      </c>
      <c r="F34" s="314">
        <v>0.04</v>
      </c>
      <c r="G34" s="314">
        <v>0.04</v>
      </c>
      <c r="H34" s="314">
        <v>0.04</v>
      </c>
      <c r="I34" s="314">
        <v>0.04</v>
      </c>
      <c r="J34" s="314">
        <v>0.04</v>
      </c>
      <c r="K34" s="314">
        <v>0.04</v>
      </c>
      <c r="L34" s="314">
        <v>0.04</v>
      </c>
      <c r="M34" s="314">
        <v>0.04</v>
      </c>
      <c r="N34" s="314">
        <v>0.04</v>
      </c>
      <c r="O34" s="314">
        <v>0.04</v>
      </c>
      <c r="P34" s="314">
        <v>0.04</v>
      </c>
      <c r="Q34" s="314">
        <v>0.04</v>
      </c>
      <c r="R34" s="314">
        <v>0.04</v>
      </c>
      <c r="S34" s="314">
        <v>0.04</v>
      </c>
      <c r="T34" s="314">
        <v>0.04</v>
      </c>
      <c r="U34" s="314">
        <v>0.04</v>
      </c>
      <c r="V34" s="314">
        <v>0.04</v>
      </c>
      <c r="W34" s="314">
        <v>0.04</v>
      </c>
      <c r="X34" s="314">
        <v>0.04</v>
      </c>
      <c r="Y34" s="314">
        <v>0.04</v>
      </c>
      <c r="Z34" s="314">
        <v>0.04</v>
      </c>
      <c r="AA34" s="314">
        <v>0.04</v>
      </c>
      <c r="AB34" s="314">
        <v>0.04</v>
      </c>
      <c r="AC34" s="314">
        <v>0.04</v>
      </c>
      <c r="AD34" s="314">
        <v>0.04</v>
      </c>
      <c r="AE34" s="314">
        <v>0.04</v>
      </c>
      <c r="AF34" s="314">
        <v>0.04</v>
      </c>
      <c r="AG34" s="314">
        <v>0.04</v>
      </c>
    </row>
    <row r="35" spans="1:33" s="315" customFormat="1">
      <c r="A35" s="313" t="s">
        <v>193</v>
      </c>
      <c r="B35" s="314"/>
      <c r="C35" s="314">
        <v>0.06</v>
      </c>
      <c r="D35" s="314">
        <v>0.06</v>
      </c>
      <c r="E35" s="314">
        <v>0.06</v>
      </c>
      <c r="F35" s="314">
        <v>0.06</v>
      </c>
      <c r="G35" s="314">
        <v>0.06</v>
      </c>
      <c r="H35" s="314">
        <v>0.06</v>
      </c>
      <c r="I35" s="314">
        <v>0.06</v>
      </c>
      <c r="J35" s="314">
        <v>0.06</v>
      </c>
      <c r="K35" s="314">
        <v>0.06</v>
      </c>
      <c r="L35" s="314">
        <v>0.06</v>
      </c>
      <c r="M35" s="314">
        <v>0.06</v>
      </c>
      <c r="N35" s="314">
        <v>0.06</v>
      </c>
      <c r="O35" s="314">
        <v>0.06</v>
      </c>
      <c r="P35" s="314">
        <v>0.06</v>
      </c>
      <c r="Q35" s="314">
        <v>0.06</v>
      </c>
      <c r="R35" s="314">
        <v>0.06</v>
      </c>
      <c r="S35" s="314">
        <v>0.06</v>
      </c>
      <c r="T35" s="314">
        <v>0.06</v>
      </c>
      <c r="U35" s="314">
        <v>0.06</v>
      </c>
      <c r="V35" s="314">
        <v>0.06</v>
      </c>
      <c r="W35" s="314">
        <v>0.06</v>
      </c>
      <c r="X35" s="314">
        <v>0.06</v>
      </c>
      <c r="Y35" s="314">
        <v>0.06</v>
      </c>
      <c r="Z35" s="314">
        <v>0.06</v>
      </c>
      <c r="AA35" s="314">
        <v>0.06</v>
      </c>
      <c r="AB35" s="314">
        <v>0.06</v>
      </c>
      <c r="AC35" s="314">
        <v>0.06</v>
      </c>
      <c r="AD35" s="314">
        <v>0.06</v>
      </c>
      <c r="AE35" s="314">
        <v>0.06</v>
      </c>
      <c r="AF35" s="314">
        <v>0.06</v>
      </c>
      <c r="AG35" s="314">
        <v>0.06</v>
      </c>
    </row>
    <row r="36" spans="1:33">
      <c r="A36" s="281" t="s">
        <v>194</v>
      </c>
      <c r="B36" s="292" t="e">
        <f>B33*(1+(1-B30)*B28)</f>
        <v>#DIV/0!</v>
      </c>
      <c r="C36" s="292">
        <f ca="1">C33*(1+(1-C30)*C28)</f>
        <v>0.69286062231477452</v>
      </c>
      <c r="D36" s="292">
        <f ca="1">D33*(1+(1-D30)*D28)</f>
        <v>0.67291544416229676</v>
      </c>
      <c r="E36" s="292">
        <f t="shared" ref="E36:V36" ca="1" si="21">E33*(1+(1-E30)*E28)</f>
        <v>0.69034457673102545</v>
      </c>
      <c r="F36" s="292">
        <f t="shared" ca="1" si="21"/>
        <v>0.70215982773191887</v>
      </c>
      <c r="G36" s="292">
        <f t="shared" ca="1" si="21"/>
        <v>0.71493181077966628</v>
      </c>
      <c r="H36" s="292">
        <f t="shared" ca="1" si="21"/>
        <v>0.72301535259902672</v>
      </c>
      <c r="I36" s="292">
        <f t="shared" ca="1" si="21"/>
        <v>0.71171907888245922</v>
      </c>
      <c r="J36" s="292">
        <f t="shared" ca="1" si="21"/>
        <v>0.71876989389780277</v>
      </c>
      <c r="K36" s="292">
        <f t="shared" ca="1" si="21"/>
        <v>0.72452506828260255</v>
      </c>
      <c r="L36" s="292">
        <f t="shared" ca="1" si="21"/>
        <v>0.72922988844800485</v>
      </c>
      <c r="M36" s="292">
        <f t="shared" ca="1" si="21"/>
        <v>0.73307337392265459</v>
      </c>
      <c r="N36" s="292">
        <f t="shared" ca="1" si="21"/>
        <v>0.71630478436475287</v>
      </c>
      <c r="O36" s="292">
        <f t="shared" ca="1" si="21"/>
        <v>0.72049228161488776</v>
      </c>
      <c r="P36" s="292">
        <f t="shared" ca="1" si="21"/>
        <v>0.72398272858095825</v>
      </c>
      <c r="Q36" s="292">
        <f t="shared" ca="1" si="21"/>
        <v>0.72688374907946474</v>
      </c>
      <c r="R36" s="292">
        <f t="shared" ca="1" si="21"/>
        <v>0.72928303105767989</v>
      </c>
      <c r="S36" s="292">
        <f t="shared" ca="1" si="21"/>
        <v>0.71191381545623156</v>
      </c>
      <c r="T36" s="292">
        <f t="shared" ca="1" si="21"/>
        <v>0.71489723548373663</v>
      </c>
      <c r="U36" s="292">
        <f t="shared" ca="1" si="21"/>
        <v>0.71742420117093331</v>
      </c>
      <c r="V36" s="292">
        <f t="shared" ca="1" si="21"/>
        <v>0.71955493187014974</v>
      </c>
      <c r="W36" s="292">
        <f t="shared" ref="W36:AG36" ca="1" si="22">W33*(1+(1-W30)*W28)</f>
        <v>0.72239842976491675</v>
      </c>
      <c r="X36" s="292">
        <f t="shared" ca="1" si="22"/>
        <v>0.7059116260123075</v>
      </c>
      <c r="Y36" s="292">
        <f t="shared" ca="1" si="22"/>
        <v>0.70822445610430307</v>
      </c>
      <c r="Z36" s="292">
        <f t="shared" ca="1" si="22"/>
        <v>0.71020915065279777</v>
      </c>
      <c r="AA36" s="292">
        <f t="shared" ca="1" si="22"/>
        <v>0.71190375143846596</v>
      </c>
      <c r="AB36" s="292">
        <f t="shared" ca="1" si="22"/>
        <v>0.71334112955308737</v>
      </c>
      <c r="AC36" s="292">
        <f t="shared" ca="1" si="22"/>
        <v>0.69814289745021851</v>
      </c>
      <c r="AD36" s="292">
        <f t="shared" ca="1" si="22"/>
        <v>0.70010201449548215</v>
      </c>
      <c r="AE36" s="292">
        <f t="shared" ca="1" si="22"/>
        <v>0.70180620838744712</v>
      </c>
      <c r="AF36" s="292">
        <f t="shared" ca="1" si="22"/>
        <v>0.70328193460686073</v>
      </c>
      <c r="AG36" s="292">
        <f t="shared" ca="1" si="22"/>
        <v>0.7045524599720252</v>
      </c>
    </row>
    <row r="37" spans="1:33">
      <c r="A37" s="281" t="s">
        <v>195</v>
      </c>
      <c r="B37" s="293" t="e">
        <f t="shared" ref="B37:V37" si="23">B34+(B35*B36)</f>
        <v>#DIV/0!</v>
      </c>
      <c r="C37" s="293">
        <f ca="1">C34+(C35*C36)</f>
        <v>8.1571637338886477E-2</v>
      </c>
      <c r="D37" s="293">
        <f t="shared" ca="1" si="23"/>
        <v>8.0374926649737805E-2</v>
      </c>
      <c r="E37" s="293">
        <f t="shared" ca="1" si="23"/>
        <v>8.1420674603861529E-2</v>
      </c>
      <c r="F37" s="293">
        <f t="shared" ca="1" si="23"/>
        <v>8.2129589663915134E-2</v>
      </c>
      <c r="G37" s="293">
        <f t="shared" ca="1" si="23"/>
        <v>8.2895908646779981E-2</v>
      </c>
      <c r="H37" s="293">
        <f t="shared" ca="1" si="23"/>
        <v>8.3380921155941604E-2</v>
      </c>
      <c r="I37" s="293">
        <f t="shared" ca="1" si="23"/>
        <v>8.2703144732947542E-2</v>
      </c>
      <c r="J37" s="293">
        <f t="shared" ca="1" si="23"/>
        <v>8.3126193633868167E-2</v>
      </c>
      <c r="K37" s="293">
        <f t="shared" ca="1" si="23"/>
        <v>8.3471504096956153E-2</v>
      </c>
      <c r="L37" s="293">
        <f t="shared" ca="1" si="23"/>
        <v>8.3753793306880292E-2</v>
      </c>
      <c r="M37" s="293">
        <f t="shared" ca="1" si="23"/>
        <v>8.3984402435359276E-2</v>
      </c>
      <c r="N37" s="293">
        <f t="shared" ca="1" si="23"/>
        <v>8.2978287061885175E-2</v>
      </c>
      <c r="O37" s="293">
        <f t="shared" ca="1" si="23"/>
        <v>8.3229536896893275E-2</v>
      </c>
      <c r="P37" s="293">
        <f t="shared" ca="1" si="23"/>
        <v>8.3438963714857484E-2</v>
      </c>
      <c r="Q37" s="293">
        <f t="shared" ca="1" si="23"/>
        <v>8.3613024944767883E-2</v>
      </c>
      <c r="R37" s="293">
        <f t="shared" ca="1" si="23"/>
        <v>8.3756981863460783E-2</v>
      </c>
      <c r="S37" s="293">
        <f t="shared" ca="1" si="23"/>
        <v>8.271482892737389E-2</v>
      </c>
      <c r="T37" s="293">
        <f t="shared" ca="1" si="23"/>
        <v>8.2893834129024194E-2</v>
      </c>
      <c r="U37" s="293">
        <f t="shared" ca="1" si="23"/>
        <v>8.3045452070255987E-2</v>
      </c>
      <c r="V37" s="293">
        <f t="shared" ca="1" si="23"/>
        <v>8.3173295912208983E-2</v>
      </c>
      <c r="W37" s="293">
        <f t="shared" ref="W37:AG37" ca="1" si="24">W34+(W35*W36)</f>
        <v>8.3343905785895012E-2</v>
      </c>
      <c r="X37" s="293">
        <f t="shared" ca="1" si="24"/>
        <v>8.2354697560738446E-2</v>
      </c>
      <c r="Y37" s="293">
        <f t="shared" ca="1" si="24"/>
        <v>8.2493467366258177E-2</v>
      </c>
      <c r="Z37" s="293">
        <f t="shared" ca="1" si="24"/>
        <v>8.2612549039167871E-2</v>
      </c>
      <c r="AA37" s="293">
        <f t="shared" ca="1" si="24"/>
        <v>8.2714225086307963E-2</v>
      </c>
      <c r="AB37" s="293">
        <f t="shared" ca="1" si="24"/>
        <v>8.2800467773185241E-2</v>
      </c>
      <c r="AC37" s="293">
        <f t="shared" ca="1" si="24"/>
        <v>8.1888573847013119E-2</v>
      </c>
      <c r="AD37" s="293">
        <f t="shared" ca="1" si="24"/>
        <v>8.200612086972893E-2</v>
      </c>
      <c r="AE37" s="293">
        <f t="shared" ca="1" si="24"/>
        <v>8.2108372503246818E-2</v>
      </c>
      <c r="AF37" s="293">
        <f t="shared" ca="1" si="24"/>
        <v>8.2196916076411636E-2</v>
      </c>
      <c r="AG37" s="293">
        <f t="shared" ca="1" si="24"/>
        <v>8.2273147598321508E-2</v>
      </c>
    </row>
    <row r="38" spans="1:33">
      <c r="A38" s="285" t="s">
        <v>196</v>
      </c>
      <c r="B38" s="294" t="e">
        <f t="shared" ref="B38:V38" si="25">B32*(B28)+B37*B29</f>
        <v>#DIV/0!</v>
      </c>
      <c r="C38" s="303">
        <f ca="1">C32*(C28)+C37*C29</f>
        <v>7.142215876910854E-2</v>
      </c>
      <c r="D38" s="303">
        <f t="shared" ca="1" si="25"/>
        <v>7.2970223544420121E-2</v>
      </c>
      <c r="E38" s="303">
        <f t="shared" ca="1" si="25"/>
        <v>7.1621732319141443E-2</v>
      </c>
      <c r="F38" s="303">
        <f t="shared" ca="1" si="25"/>
        <v>7.0673798753729575E-2</v>
      </c>
      <c r="G38" s="303">
        <f t="shared" ca="1" si="25"/>
        <v>6.9618399257215829E-2</v>
      </c>
      <c r="H38" s="303">
        <f t="shared" ca="1" si="25"/>
        <v>6.8933938741853162E-2</v>
      </c>
      <c r="I38" s="303">
        <f t="shared" ca="1" si="25"/>
        <v>6.9886883155123702E-2</v>
      </c>
      <c r="J38" s="303">
        <f t="shared" ca="1" si="25"/>
        <v>6.9295009299078988E-2</v>
      </c>
      <c r="K38" s="303">
        <f t="shared" ca="1" si="25"/>
        <v>6.880468981728928E-2</v>
      </c>
      <c r="L38" s="303">
        <f t="shared" ca="1" si="25"/>
        <v>6.8399044310559043E-2</v>
      </c>
      <c r="M38" s="303">
        <f t="shared" ca="1" si="25"/>
        <v>6.806444953178091E-2</v>
      </c>
      <c r="N38" s="303">
        <f t="shared" ca="1" si="25"/>
        <v>6.9503045941377475E-2</v>
      </c>
      <c r="O38" s="303">
        <f t="shared" ca="1" si="25"/>
        <v>6.9148947489424142E-2</v>
      </c>
      <c r="P38" s="303">
        <f t="shared" ca="1" si="25"/>
        <v>6.8851171600135666E-2</v>
      </c>
      <c r="Q38" s="303">
        <f t="shared" ca="1" si="25"/>
        <v>6.8601867538229236E-2</v>
      </c>
      <c r="R38" s="303">
        <f t="shared" ca="1" si="25"/>
        <v>6.8394437675579317E-2</v>
      </c>
      <c r="S38" s="303">
        <f t="shared" ca="1" si="25"/>
        <v>6.9870666739028017E-2</v>
      </c>
      <c r="T38" s="303">
        <f t="shared" ca="1" si="25"/>
        <v>6.9621299415828564E-2</v>
      </c>
      <c r="U38" s="303">
        <f t="shared" ca="1" si="25"/>
        <v>6.9408722914887741E-2</v>
      </c>
      <c r="V38" s="303">
        <f t="shared" ca="1" si="25"/>
        <v>6.9228508517324996E-2</v>
      </c>
      <c r="W38" s="303">
        <f t="shared" ref="W38:AG38" ca="1" si="26">W32*(W28)+W37*W29</f>
        <v>6.8986626097315512E-2</v>
      </c>
      <c r="X38" s="303">
        <f t="shared" ca="1" si="26"/>
        <v>7.0367082095599984E-2</v>
      </c>
      <c r="Y38" s="303">
        <f t="shared" ca="1" si="26"/>
        <v>7.0176632232027636E-2</v>
      </c>
      <c r="Z38" s="303">
        <f t="shared" ca="1" si="26"/>
        <v>7.0012368624241358E-2</v>
      </c>
      <c r="AA38" s="303">
        <f t="shared" ca="1" si="26"/>
        <v>6.9871504987786742E-2</v>
      </c>
      <c r="AB38" s="303">
        <f t="shared" ca="1" si="26"/>
        <v>6.9751582759123451E-2</v>
      </c>
      <c r="AC38" s="303">
        <f t="shared" ca="1" si="26"/>
        <v>7.0999138892345146E-2</v>
      </c>
      <c r="AD38" s="303">
        <f t="shared" ca="1" si="26"/>
        <v>7.0840859860926073E-2</v>
      </c>
      <c r="AE38" s="303">
        <f t="shared" ca="1" si="26"/>
        <v>7.0702565847012358E-2</v>
      </c>
      <c r="AF38" s="303">
        <f t="shared" ca="1" si="26"/>
        <v>7.0582352926259084E-2</v>
      </c>
      <c r="AG38" s="303">
        <f t="shared" ca="1" si="26"/>
        <v>7.0478514509044743E-2</v>
      </c>
    </row>
    <row r="39" spans="1:33">
      <c r="A39" s="281"/>
    </row>
    <row r="40" spans="1:33">
      <c r="A40" s="281"/>
    </row>
    <row r="41" spans="1:33">
      <c r="A41" s="285" t="s">
        <v>197</v>
      </c>
    </row>
    <row r="42" spans="1:33">
      <c r="A42" s="281"/>
    </row>
    <row r="43" spans="1:33">
      <c r="A43" s="295" t="s">
        <v>198</v>
      </c>
      <c r="C43" s="296" t="e">
        <f>(CE!E5-CE!D5)/CE!D5</f>
        <v>#DIV/0!</v>
      </c>
      <c r="D43" s="296">
        <f>(CE!F5-CE!E5)/CE!E5</f>
        <v>-1</v>
      </c>
      <c r="E43" s="296" t="e">
        <f>(CE!G5-CE!F5)/CE!F5</f>
        <v>#DIV/0!</v>
      </c>
      <c r="F43" s="296" t="e">
        <f>(CE!H5-CE!G5)/CE!G5</f>
        <v>#DIV/0!</v>
      </c>
      <c r="G43" s="296" t="e">
        <f>(CE!I5-CE!H5)/CE!H5</f>
        <v>#DIV/0!</v>
      </c>
      <c r="H43" s="296" t="e">
        <f>(CE!J5-CE!I5)/CE!I5</f>
        <v>#DIV/0!</v>
      </c>
      <c r="I43" s="296" t="e">
        <f>(CE!K5-CE!J5)/CE!J5</f>
        <v>#DIV/0!</v>
      </c>
      <c r="J43" s="296" t="e">
        <f>(CE!L5-CE!K5)/CE!K5</f>
        <v>#DIV/0!</v>
      </c>
      <c r="K43" s="296" t="e">
        <f>(CE!M5-CE!L5)/CE!L5</f>
        <v>#DIV/0!</v>
      </c>
      <c r="L43" s="296" t="e">
        <f>(CE!N5-CE!M5)/CE!M5</f>
        <v>#DIV/0!</v>
      </c>
      <c r="M43" s="296" t="e">
        <f>(CE!O5-CE!N5)/CE!N5</f>
        <v>#DIV/0!</v>
      </c>
      <c r="N43" s="296" t="e">
        <f>(CE!P5-CE!O5)/CE!O5</f>
        <v>#DIV/0!</v>
      </c>
      <c r="O43" s="296" t="e">
        <f>(CE!Q5-CE!P5)/CE!P5</f>
        <v>#DIV/0!</v>
      </c>
      <c r="P43" s="296" t="e">
        <f>(CE!R5-CE!Q5)/CE!Q5</f>
        <v>#DIV/0!</v>
      </c>
      <c r="Q43" s="296" t="e">
        <f>(CE!S5-CE!R5)/CE!R5</f>
        <v>#DIV/0!</v>
      </c>
      <c r="R43" s="296" t="e">
        <f>(CE!T5-CE!S5)/CE!S5</f>
        <v>#DIV/0!</v>
      </c>
      <c r="S43" s="296" t="e">
        <f>(CE!U5-CE!T5)/CE!T5</f>
        <v>#DIV/0!</v>
      </c>
      <c r="T43" s="296" t="e">
        <f>(CE!V5-CE!U5)/CE!U5</f>
        <v>#DIV/0!</v>
      </c>
      <c r="U43" s="296" t="e">
        <f>(CE!W5-CE!V5)/CE!V5</f>
        <v>#DIV/0!</v>
      </c>
      <c r="V43" s="296" t="e">
        <f>(CE!X5-CE!W5)/CE!W5</f>
        <v>#DIV/0!</v>
      </c>
      <c r="W43" s="296" t="e">
        <f>(CE!Y5-CE!X5)/CE!X5</f>
        <v>#DIV/0!</v>
      </c>
      <c r="X43" s="296" t="e">
        <f>(CE!Z5-CE!Y5)/CE!Y5</f>
        <v>#DIV/0!</v>
      </c>
      <c r="Y43" s="296" t="e">
        <f>(CE!AA5-CE!Z5)/CE!Z5</f>
        <v>#DIV/0!</v>
      </c>
      <c r="Z43" s="296" t="e">
        <f>(CE!AB5-CE!AA5)/CE!AA5</f>
        <v>#DIV/0!</v>
      </c>
      <c r="AA43" s="296" t="e">
        <f>(CE!AC5-CE!AB5)/CE!AB5</f>
        <v>#DIV/0!</v>
      </c>
      <c r="AB43" s="296" t="e">
        <f>(CE!AD5-CE!AC5)/CE!AC5</f>
        <v>#DIV/0!</v>
      </c>
      <c r="AC43" s="296" t="e">
        <f>(CE!AE5-CE!AD5)/CE!AD5</f>
        <v>#DIV/0!</v>
      </c>
      <c r="AD43" s="296" t="e">
        <f>(CE!AF5-CE!AE5)/CE!AE5</f>
        <v>#DIV/0!</v>
      </c>
      <c r="AE43" s="296" t="e">
        <f>(CE!AG5-CE!AF5)/CE!AF5</f>
        <v>#DIV/0!</v>
      </c>
      <c r="AF43" s="296" t="e">
        <f>(CE!AH5-CE!AG5)/CE!AG5</f>
        <v>#DIV/0!</v>
      </c>
      <c r="AG43" s="296" t="e">
        <f>(CE!AI5-CE!AH5)/CE!AH5</f>
        <v>#DIV/0!</v>
      </c>
    </row>
    <row r="44" spans="1:33">
      <c r="A44" s="295" t="s">
        <v>199</v>
      </c>
      <c r="B44" s="297"/>
      <c r="C44" s="296" t="e">
        <f ca="1">IF(B5&lt;0,-(C5-B5)/B5,+(C5-B5)/B5)</f>
        <v>#DIV/0!</v>
      </c>
      <c r="D44" s="296">
        <f ca="1">IF(C5&lt;0,-(D5-C5)/C5,+(D5-C5)/C5)</f>
        <v>0.14473226390175997</v>
      </c>
      <c r="E44" s="296">
        <f ca="1">IF(D5&lt;0,-(E5-D5)/D5,+(E5-D5)/D5)</f>
        <v>2.5304624608123008E-2</v>
      </c>
      <c r="F44" s="296">
        <f ca="1">IF(E5&lt;0,-(F5-E5)/E5,+(F5-E5)/E5)</f>
        <v>-1.5981188645363801E-2</v>
      </c>
      <c r="G44" s="296">
        <f t="shared" ref="G44:AG44" ca="1" si="27">IF(F5&lt;0,-(G5-F5)/F5,+(G5-F5)/F5)</f>
        <v>9.5638182783461964E-2</v>
      </c>
      <c r="H44" s="296">
        <f t="shared" ca="1" si="27"/>
        <v>3.8859249265392179E-2</v>
      </c>
      <c r="I44" s="296">
        <f t="shared" ca="1" si="27"/>
        <v>-0.35862364731433943</v>
      </c>
      <c r="J44" s="296">
        <f t="shared" ca="1" si="27"/>
        <v>0.66711821939335048</v>
      </c>
      <c r="K44" s="296">
        <f t="shared" ca="1" si="27"/>
        <v>3.7988686755433709E-2</v>
      </c>
      <c r="L44" s="296">
        <f t="shared" ca="1" si="27"/>
        <v>3.7674469733030923E-2</v>
      </c>
      <c r="M44" s="296">
        <f t="shared" ca="1" si="27"/>
        <v>3.7371123474026914E-2</v>
      </c>
      <c r="N44" s="296">
        <f t="shared" ca="1" si="27"/>
        <v>-0.5147822714350847</v>
      </c>
      <c r="O44" s="296">
        <f t="shared" ca="1" si="27"/>
        <v>1.1904567394908732</v>
      </c>
      <c r="P44" s="296">
        <f t="shared" ca="1" si="27"/>
        <v>3.6685008979245259E-2</v>
      </c>
      <c r="Q44" s="296">
        <f t="shared" ca="1" si="27"/>
        <v>3.6414693211725774E-2</v>
      </c>
      <c r="R44" s="296">
        <f t="shared" ca="1" si="27"/>
        <v>3.6153083606484192E-2</v>
      </c>
      <c r="S44" s="296">
        <f t="shared" ca="1" si="27"/>
        <v>-0.57868261583989933</v>
      </c>
      <c r="T44" s="296">
        <f t="shared" ca="1" si="27"/>
        <v>1.513632918206927</v>
      </c>
      <c r="U44" s="296">
        <f t="shared" ca="1" si="27"/>
        <v>3.5585448115588843E-2</v>
      </c>
      <c r="V44" s="296">
        <f t="shared" ca="1" si="27"/>
        <v>3.5349694205474555E-2</v>
      </c>
      <c r="W44" s="296">
        <f t="shared" ca="1" si="27"/>
        <v>7.2532551468939832E-2</v>
      </c>
      <c r="X44" s="296">
        <f t="shared" ca="1" si="27"/>
        <v>-0.60751390062243271</v>
      </c>
      <c r="Y44" s="296">
        <f t="shared" ca="1" si="27"/>
        <v>1.601920364995391</v>
      </c>
      <c r="Z44" s="296">
        <f t="shared" ca="1" si="27"/>
        <v>3.4628783226433688E-2</v>
      </c>
      <c r="AA44" s="296">
        <f t="shared" ca="1" si="27"/>
        <v>3.4421258089491508E-2</v>
      </c>
      <c r="AB44" s="296">
        <f t="shared" ca="1" si="27"/>
        <v>3.4219629829506423E-2</v>
      </c>
      <c r="AC44" s="296">
        <f t="shared" ca="1" si="27"/>
        <v>-0.58546775780034011</v>
      </c>
      <c r="AD44" s="296">
        <f t="shared" ca="1" si="27"/>
        <v>1.5452804166588452</v>
      </c>
      <c r="AE44" s="296">
        <f t="shared" ca="1" si="27"/>
        <v>3.3795347728885379E-2</v>
      </c>
      <c r="AF44" s="296">
        <f ca="1">IF(AE5&lt;0,-(AF5-AE5)/AE5,+(AF5-AE5)/AE5)</f>
        <v>3.361101459888375E-2</v>
      </c>
      <c r="AG44" s="296">
        <f t="shared" ca="1" si="27"/>
        <v>3.3431634449311208E-2</v>
      </c>
    </row>
    <row r="45" spans="1:33">
      <c r="A45" s="295" t="s">
        <v>216</v>
      </c>
      <c r="C45" s="305" t="e">
        <f>HARMEAN(E43:AG43)</f>
        <v>#DIV/0!</v>
      </c>
      <c r="D45" s="289"/>
      <c r="E45" s="281"/>
      <c r="F45" s="281"/>
    </row>
    <row r="46" spans="1:33">
      <c r="A46" s="295" t="s">
        <v>217</v>
      </c>
      <c r="C46" s="296">
        <v>0</v>
      </c>
      <c r="D46" s="306"/>
      <c r="E46" s="281"/>
      <c r="F46" s="281"/>
    </row>
    <row r="47" spans="1:33">
      <c r="A47" s="295" t="s">
        <v>218</v>
      </c>
      <c r="C47" s="304">
        <f ca="1">AVERAGE(C38:AG38)</f>
        <v>6.9841555618154777E-2</v>
      </c>
      <c r="D47" s="281"/>
      <c r="E47" s="281"/>
      <c r="F47" s="281"/>
    </row>
    <row r="48" spans="1:33">
      <c r="A48" s="281"/>
      <c r="C48" s="281"/>
      <c r="D48" s="281"/>
      <c r="E48" s="281"/>
      <c r="F48" s="281"/>
    </row>
    <row r="49" spans="1:33">
      <c r="A49" s="285" t="s">
        <v>200</v>
      </c>
      <c r="C49" s="298">
        <f ca="1">(AG9*(1+C46)/(C47-C46))</f>
        <v>274624.11267994222</v>
      </c>
      <c r="D49" s="281"/>
      <c r="E49" s="281"/>
      <c r="F49" s="281"/>
    </row>
    <row r="50" spans="1:33">
      <c r="A50" s="281"/>
      <c r="C50" s="285"/>
      <c r="D50" s="281"/>
      <c r="E50" s="281"/>
      <c r="F50" s="281"/>
    </row>
    <row r="51" spans="1:33">
      <c r="A51" s="299" t="s">
        <v>201</v>
      </c>
      <c r="B51" s="301"/>
      <c r="C51" s="300">
        <f ca="1">+AG11+C49</f>
        <v>1258843.3276651513</v>
      </c>
      <c r="D51" s="281"/>
      <c r="E51" s="281"/>
      <c r="F51" s="281"/>
    </row>
    <row r="57" spans="1:33" ht="54">
      <c r="A57" s="302" t="s">
        <v>208</v>
      </c>
      <c r="B57" s="302" t="s">
        <v>191</v>
      </c>
      <c r="C57" s="302" t="s">
        <v>213</v>
      </c>
      <c r="D57" s="302" t="s">
        <v>209</v>
      </c>
      <c r="E57" s="302" t="s">
        <v>210</v>
      </c>
      <c r="F57" s="302" t="s">
        <v>214</v>
      </c>
    </row>
    <row r="58" spans="1:33" ht="15" customHeight="1">
      <c r="A58" s="124" t="s">
        <v>206</v>
      </c>
      <c r="B58" s="124">
        <v>0.64</v>
      </c>
      <c r="C58" s="135">
        <v>7.7200000000000005E-2</v>
      </c>
      <c r="D58" s="36">
        <v>0.4</v>
      </c>
      <c r="E58" s="530">
        <f>B58*D58+B59*D59+B60*D60</f>
        <v>0.6160000000000001</v>
      </c>
      <c r="F58" s="530">
        <f>C58*D58+C59*D59+C60*D60</f>
        <v>5.4179999999999999E-2</v>
      </c>
    </row>
    <row r="59" spans="1:33" ht="15" customHeight="1">
      <c r="A59" s="124" t="s">
        <v>205</v>
      </c>
      <c r="B59" s="124">
        <v>0.74</v>
      </c>
      <c r="C59" s="135">
        <v>4.5499999999999999E-2</v>
      </c>
      <c r="D59" s="36">
        <v>0.2</v>
      </c>
      <c r="E59" s="530"/>
      <c r="F59" s="530"/>
    </row>
    <row r="60" spans="1:33" ht="15" customHeight="1">
      <c r="A60" s="124" t="s">
        <v>207</v>
      </c>
      <c r="B60" s="124">
        <v>0.53</v>
      </c>
      <c r="C60" s="135">
        <v>3.5499999999999997E-2</v>
      </c>
      <c r="D60" s="36">
        <v>0.4</v>
      </c>
      <c r="E60" s="530"/>
      <c r="F60" s="530"/>
    </row>
    <row r="64" spans="1:33">
      <c r="A64" s="34" t="s">
        <v>219</v>
      </c>
      <c r="C64" s="307">
        <f ca="1">CE!E29/SP!C35</f>
        <v>0.95605506097234783</v>
      </c>
      <c r="D64" s="307">
        <f ca="1">CE!F29/SP!C39</f>
        <v>0.11235454320559653</v>
      </c>
      <c r="E64" s="307">
        <f ca="1">CE!G29/SP!D39</f>
        <v>5.168031341269342E-2</v>
      </c>
      <c r="F64" s="307">
        <f ca="1">CE!H29/SP!E39</f>
        <v>5.3538071890327818E-2</v>
      </c>
      <c r="G64" s="307">
        <f ca="1">CE!I29/SP!F39</f>
        <v>5.5121307076830467E-2</v>
      </c>
      <c r="H64" s="307">
        <f ca="1">CE!J29/SP!G39</f>
        <v>8.9281393202968268E-2</v>
      </c>
      <c r="I64" s="307">
        <f ca="1">CE!K29/SP!H39</f>
        <v>8.5495990556969548E-2</v>
      </c>
      <c r="J64" s="307">
        <f ca="1">CE!L29/SP!I39</f>
        <v>8.2121022567297863E-2</v>
      </c>
      <c r="K64" s="307">
        <f ca="1">CE!M29/SP!J39</f>
        <v>7.9530451496857488E-2</v>
      </c>
      <c r="L64" s="307">
        <f ca="1">CE!N29/SP!K39</f>
        <v>7.7148297206419136E-2</v>
      </c>
      <c r="M64" s="307">
        <f ca="1">CE!O29/SP!L39</f>
        <v>7.4949559714356212E-2</v>
      </c>
      <c r="N64" s="307">
        <f ca="1">CE!P29/SP!M39</f>
        <v>7.2331250221686461E-2</v>
      </c>
      <c r="O64" s="307">
        <f ca="1">CE!Q29/SP!N39</f>
        <v>6.9962226616204576E-2</v>
      </c>
      <c r="P64" s="307">
        <f ca="1">CE!R29/SP!O39</f>
        <v>6.831572161626949E-2</v>
      </c>
      <c r="Q64" s="307">
        <f ca="1">CE!S29/SP!P39</f>
        <v>6.6771031449886331E-2</v>
      </c>
      <c r="R64" s="307">
        <f ca="1">CE!T29/SP!Q39</f>
        <v>6.5318758948268177E-2</v>
      </c>
      <c r="S64" s="307">
        <f ca="1">CE!U29/SP!R39</f>
        <v>6.340018587080587E-2</v>
      </c>
      <c r="T64" s="307">
        <f ca="1">CE!V29/SP!S39</f>
        <v>6.1644958312158049E-2</v>
      </c>
      <c r="U64" s="307">
        <f ca="1">CE!W29/SP!T39</f>
        <v>6.0520956804082295E-2</v>
      </c>
      <c r="V64" s="307">
        <f ca="1">CE!X29/SP!U39</f>
        <v>5.9451654783984308E-2</v>
      </c>
      <c r="W64" s="307">
        <f ca="1">CE!Y29/SP!V39</f>
        <v>5.8463146589599856E-2</v>
      </c>
      <c r="X64" s="307">
        <f ca="1">CE!Z29/SP!W39</f>
        <v>5.7024361996270173E-2</v>
      </c>
      <c r="Y64" s="307">
        <f ca="1">CE!AA29/SP!X39</f>
        <v>5.5668700306363589E-2</v>
      </c>
      <c r="Z64" s="307">
        <f ca="1">CE!AB29/SP!Y39</f>
        <v>5.4856796869300832E-2</v>
      </c>
      <c r="AA64" s="307">
        <f ca="1">CE!AC29/SP!Z39</f>
        <v>5.4076619347401718E-2</v>
      </c>
      <c r="AB64" s="307">
        <f ca="1">CE!AD29/SP!AA39</f>
        <v>5.332643191294216E-2</v>
      </c>
      <c r="AC64" s="307">
        <f ca="1">CE!AE29/SP!AB39</f>
        <v>5.216930623965297E-2</v>
      </c>
      <c r="AD64" s="307">
        <f ca="1">CE!AF29/SP!AC39</f>
        <v>5.1094407329267934E-2</v>
      </c>
      <c r="AE64" s="307">
        <f ca="1">CE!AG29/SP!AD39</f>
        <v>5.0487219020964785E-2</v>
      </c>
      <c r="AF64" s="307">
        <f ca="1">CE!AH29/SP!AE39</f>
        <v>4.9899167279280593E-2</v>
      </c>
      <c r="AG64" s="307">
        <f ca="1">CE!AI29/SP!AF39</f>
        <v>4.9329486557423773E-2</v>
      </c>
    </row>
    <row r="65" spans="1:33">
      <c r="A65" s="34" t="s">
        <v>220</v>
      </c>
      <c r="C65" s="296">
        <f t="shared" ref="C65:AG65" ca="1" si="28">C64/C37</f>
        <v>11.72043484919214</v>
      </c>
      <c r="D65" s="296">
        <f t="shared" ca="1" si="28"/>
        <v>1.3978805068802267</v>
      </c>
      <c r="E65" s="296">
        <f t="shared" ca="1" si="28"/>
        <v>0.63473207098977269</v>
      </c>
      <c r="F65" s="296">
        <f t="shared" ca="1" si="28"/>
        <v>0.651873120387092</v>
      </c>
      <c r="G65" s="296">
        <f t="shared" ca="1" si="28"/>
        <v>0.6649460507357815</v>
      </c>
      <c r="H65" s="296">
        <f t="shared" ca="1" si="28"/>
        <v>1.0707652537921886</v>
      </c>
      <c r="I65" s="296">
        <f t="shared" ca="1" si="28"/>
        <v>1.0337695239164151</v>
      </c>
      <c r="J65" s="296">
        <f t="shared" ca="1" si="28"/>
        <v>0.98790789012910163</v>
      </c>
      <c r="K65" s="296">
        <f t="shared" ca="1" si="28"/>
        <v>0.95278565250817882</v>
      </c>
      <c r="L65" s="296">
        <f t="shared" ca="1" si="28"/>
        <v>0.92113197695705418</v>
      </c>
      <c r="M65" s="296">
        <f t="shared" ca="1" si="28"/>
        <v>0.89242237297625637</v>
      </c>
      <c r="N65" s="296">
        <f t="shared" ca="1" si="28"/>
        <v>0.87168888130628486</v>
      </c>
      <c r="O65" s="296">
        <f t="shared" ca="1" si="28"/>
        <v>0.8405937269947259</v>
      </c>
      <c r="P65" s="296">
        <f t="shared" ca="1" si="28"/>
        <v>0.81875083983221753</v>
      </c>
      <c r="Q65" s="296">
        <f t="shared" ca="1" si="28"/>
        <v>0.79857213028703555</v>
      </c>
      <c r="R65" s="296">
        <f t="shared" ca="1" si="28"/>
        <v>0.7798604664951958</v>
      </c>
      <c r="S65" s="296">
        <f t="shared" ca="1" si="28"/>
        <v>0.76649116842728582</v>
      </c>
      <c r="T65" s="296">
        <f t="shared" ca="1" si="28"/>
        <v>0.74366156373232439</v>
      </c>
      <c r="U65" s="296">
        <f t="shared" ca="1" si="28"/>
        <v>0.72876906917048156</v>
      </c>
      <c r="V65" s="296">
        <f t="shared" ca="1" si="28"/>
        <v>0.71479258014178826</v>
      </c>
      <c r="W65" s="296">
        <f t="shared" ca="1" si="28"/>
        <v>0.70146876413241077</v>
      </c>
      <c r="X65" s="296">
        <f t="shared" ca="1" si="28"/>
        <v>0.69242391369616074</v>
      </c>
      <c r="Y65" s="296">
        <f t="shared" ca="1" si="28"/>
        <v>0.67482555993437887</v>
      </c>
      <c r="Z65" s="296">
        <f t="shared" ca="1" si="28"/>
        <v>0.66402498781743668</v>
      </c>
      <c r="AA65" s="296">
        <f t="shared" ca="1" si="28"/>
        <v>0.65377653349197917</v>
      </c>
      <c r="AB65" s="296">
        <f t="shared" ca="1" si="28"/>
        <v>0.64403539432915879</v>
      </c>
      <c r="AC65" s="296">
        <f t="shared" ca="1" si="28"/>
        <v>0.63707674696005034</v>
      </c>
      <c r="AD65" s="296">
        <f t="shared" ca="1" si="28"/>
        <v>0.62305602054307763</v>
      </c>
      <c r="AE65" s="296">
        <f t="shared" ca="1" si="28"/>
        <v>0.61488515095057283</v>
      </c>
      <c r="AF65" s="296">
        <f t="shared" ca="1" si="28"/>
        <v>0.60706860623449044</v>
      </c>
      <c r="AG65" s="296">
        <f t="shared" ca="1" si="28"/>
        <v>0.59958185626084115</v>
      </c>
    </row>
  </sheetData>
  <mergeCells count="2">
    <mergeCell ref="E58:E60"/>
    <mergeCell ref="F58:F60"/>
  </mergeCells>
  <phoneticPr fontId="18" type="noConversion"/>
  <pageMargins left="0.75" right="0.75" top="1" bottom="1" header="0.5" footer="0.5"/>
  <pageSetup paperSize="9" scale="48" orientation="landscape" horizontalDpi="0" verticalDpi="0"/>
  <headerFooter alignWithMargins="0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D0091-AFA9-CD47-A736-04A6B56B4CE0}">
  <dimension ref="A1:AF34"/>
  <sheetViews>
    <sheetView workbookViewId="0">
      <selection activeCell="B4" sqref="B4"/>
    </sheetView>
  </sheetViews>
  <sheetFormatPr defaultColWidth="9.140625" defaultRowHeight="15" outlineLevelRow="1"/>
  <cols>
    <col min="1" max="1" width="43.140625" style="267" bestFit="1" customWidth="1"/>
    <col min="2" max="16384" width="9.140625" style="267"/>
  </cols>
  <sheetData>
    <row r="1" spans="1:32" ht="16.5">
      <c r="A1" s="312" t="s">
        <v>221</v>
      </c>
      <c r="B1" s="311" t="s">
        <v>144</v>
      </c>
      <c r="C1" s="311" t="s">
        <v>145</v>
      </c>
      <c r="D1" s="311" t="s">
        <v>146</v>
      </c>
      <c r="E1" s="311" t="s">
        <v>147</v>
      </c>
      <c r="F1" s="311" t="s">
        <v>148</v>
      </c>
      <c r="G1" s="311" t="s">
        <v>149</v>
      </c>
      <c r="H1" s="311" t="s">
        <v>150</v>
      </c>
      <c r="I1" s="311" t="s">
        <v>151</v>
      </c>
      <c r="J1" s="311" t="s">
        <v>152</v>
      </c>
      <c r="K1" s="311" t="s">
        <v>153</v>
      </c>
      <c r="L1" s="311" t="s">
        <v>154</v>
      </c>
      <c r="M1" s="311" t="s">
        <v>155</v>
      </c>
      <c r="N1" s="311" t="s">
        <v>156</v>
      </c>
      <c r="O1" s="311" t="s">
        <v>157</v>
      </c>
      <c r="P1" s="311" t="s">
        <v>158</v>
      </c>
      <c r="Q1" s="311" t="s">
        <v>159</v>
      </c>
      <c r="R1" s="311" t="s">
        <v>160</v>
      </c>
      <c r="S1" s="311" t="s">
        <v>161</v>
      </c>
      <c r="T1" s="311" t="s">
        <v>162</v>
      </c>
      <c r="U1" s="311" t="s">
        <v>163</v>
      </c>
      <c r="V1" s="311" t="s">
        <v>164</v>
      </c>
      <c r="W1" s="311" t="s">
        <v>165</v>
      </c>
      <c r="X1" s="311" t="s">
        <v>166</v>
      </c>
      <c r="Y1" s="311" t="s">
        <v>167</v>
      </c>
      <c r="Z1" s="311" t="s">
        <v>168</v>
      </c>
      <c r="AA1" s="311" t="s">
        <v>169</v>
      </c>
      <c r="AB1" s="311" t="s">
        <v>170</v>
      </c>
      <c r="AC1" s="311" t="s">
        <v>171</v>
      </c>
      <c r="AD1" s="311" t="s">
        <v>172</v>
      </c>
      <c r="AE1" s="311" t="s">
        <v>173</v>
      </c>
      <c r="AF1" s="311" t="s">
        <v>174</v>
      </c>
    </row>
    <row r="2" spans="1:32">
      <c r="A2" s="308"/>
    </row>
    <row r="3" spans="1:32" ht="16.5">
      <c r="A3" s="309" t="s">
        <v>222</v>
      </c>
    </row>
    <row r="4" spans="1:32">
      <c r="A4" s="308" t="s">
        <v>223</v>
      </c>
      <c r="B4" s="267" t="e">
        <f ca="1">(SP!C7+SP!C8)/SP!C22</f>
        <v>#DIV/0!</v>
      </c>
      <c r="C4" s="267" t="e">
        <f ca="1">(SP!D7+SP!D8)/SP!D22</f>
        <v>#DIV/0!</v>
      </c>
      <c r="D4" s="267" t="e">
        <f ca="1">(SP!E7+SP!E8)/SP!E22</f>
        <v>#DIV/0!</v>
      </c>
      <c r="E4" s="267" t="e">
        <f ca="1">(SP!F7+SP!F8)/SP!F22</f>
        <v>#DIV/0!</v>
      </c>
      <c r="F4" s="267" t="e">
        <f ca="1">(SP!G7+SP!G8)/SP!G22</f>
        <v>#DIV/0!</v>
      </c>
      <c r="G4" s="267" t="e">
        <f ca="1">(SP!H7+SP!H8)/SP!H22</f>
        <v>#DIV/0!</v>
      </c>
      <c r="H4" s="267" t="e">
        <f ca="1">(SP!I7+SP!I8)/SP!I22</f>
        <v>#DIV/0!</v>
      </c>
      <c r="I4" s="267" t="e">
        <f ca="1">(SP!J7+SP!J8)/SP!J22</f>
        <v>#DIV/0!</v>
      </c>
      <c r="J4" s="267" t="e">
        <f ca="1">(SP!K7+SP!K8)/SP!K22</f>
        <v>#DIV/0!</v>
      </c>
      <c r="K4" s="267" t="e">
        <f ca="1">(SP!L7+SP!L8)/SP!L22</f>
        <v>#DIV/0!</v>
      </c>
      <c r="L4" s="267" t="e">
        <f ca="1">(SP!M7+SP!M8)/SP!M22</f>
        <v>#DIV/0!</v>
      </c>
      <c r="M4" s="267" t="e">
        <f ca="1">(SP!N7+SP!N8)/SP!N22</f>
        <v>#DIV/0!</v>
      </c>
      <c r="N4" s="267" t="e">
        <f ca="1">(SP!O7+SP!O8)/SP!O22</f>
        <v>#DIV/0!</v>
      </c>
      <c r="O4" s="267" t="e">
        <f ca="1">(SP!P7+SP!P8)/SP!P22</f>
        <v>#DIV/0!</v>
      </c>
      <c r="P4" s="267" t="e">
        <f ca="1">(SP!Q7+SP!Q8)/SP!Q22</f>
        <v>#DIV/0!</v>
      </c>
      <c r="Q4" s="267" t="e">
        <f ca="1">(SP!R7+SP!R8)/SP!R22</f>
        <v>#DIV/0!</v>
      </c>
      <c r="R4" s="267" t="e">
        <f ca="1">(SP!S7+SP!S8)/SP!S22</f>
        <v>#DIV/0!</v>
      </c>
      <c r="S4" s="267" t="e">
        <f ca="1">(SP!T7+SP!T8)/SP!T22</f>
        <v>#DIV/0!</v>
      </c>
      <c r="T4" s="267" t="e">
        <f ca="1">(SP!U7+SP!U8)/SP!U22</f>
        <v>#DIV/0!</v>
      </c>
      <c r="U4" s="267" t="e">
        <f ca="1">(SP!V7+SP!V8)/SP!V22</f>
        <v>#DIV/0!</v>
      </c>
      <c r="V4" s="267" t="e">
        <f ca="1">(SP!W7+SP!W8)/SP!W22</f>
        <v>#DIV/0!</v>
      </c>
      <c r="W4" s="267" t="e">
        <f ca="1">(SP!X7+SP!X8)/SP!X22</f>
        <v>#DIV/0!</v>
      </c>
      <c r="X4" s="267" t="e">
        <f ca="1">(SP!Y7+SP!Y8)/SP!Y22</f>
        <v>#DIV/0!</v>
      </c>
      <c r="Y4" s="267" t="e">
        <f ca="1">(SP!Z7+SP!Z8)/SP!Z22</f>
        <v>#DIV/0!</v>
      </c>
      <c r="Z4" s="267" t="e">
        <f ca="1">(SP!AA7+SP!AA8)/SP!AA22</f>
        <v>#DIV/0!</v>
      </c>
      <c r="AA4" s="267" t="e">
        <f ca="1">(SP!AB7+SP!AB8)/SP!AB22</f>
        <v>#DIV/0!</v>
      </c>
      <c r="AB4" s="267" t="e">
        <f ca="1">(SP!AC7+SP!AC8)/SP!AC22</f>
        <v>#DIV/0!</v>
      </c>
      <c r="AC4" s="267" t="e">
        <f ca="1">(SP!AD7+SP!AD8)/SP!AD22</f>
        <v>#DIV/0!</v>
      </c>
      <c r="AD4" s="267" t="e">
        <f ca="1">(SP!AE7+SP!AE8)/SP!AE22</f>
        <v>#DIV/0!</v>
      </c>
      <c r="AE4" s="267" t="e">
        <f ca="1">(SP!AF7+SP!AF8)/SP!AF22</f>
        <v>#DIV/0!</v>
      </c>
      <c r="AF4" s="267" t="e">
        <f ca="1">(SP!AG7+SP!AG8)/SP!AG22</f>
        <v>#DIV/0!</v>
      </c>
    </row>
    <row r="5" spans="1:32">
      <c r="A5" s="308" t="s">
        <v>224</v>
      </c>
      <c r="B5" s="267">
        <f ca="1">SP!C11-SP!C26</f>
        <v>35946.87527083962</v>
      </c>
      <c r="C5" s="267">
        <f ca="1">SP!D11-SP!D26</f>
        <v>95610.537030559091</v>
      </c>
      <c r="D5" s="267">
        <f ca="1">SP!E11-SP!E26</f>
        <v>157675.11313680472</v>
      </c>
      <c r="E5" s="267">
        <f ca="1">SP!F11-SP!F26</f>
        <v>222164.1915730144</v>
      </c>
      <c r="F5" s="267">
        <f ca="1">SP!G11-SP!G26</f>
        <v>289149.73089588992</v>
      </c>
      <c r="G5" s="267">
        <f ca="1">SP!H11-SP!H26</f>
        <v>331306.56839574198</v>
      </c>
      <c r="H5" s="267">
        <f ca="1">SP!I11-SP!I26</f>
        <v>403279.07541916671</v>
      </c>
      <c r="I5" s="267">
        <f ca="1">SP!J11-SP!J26</f>
        <v>477702.24710482586</v>
      </c>
      <c r="J5" s="267">
        <f ca="1">SP!K11-SP!K26</f>
        <v>554958.5031817453</v>
      </c>
      <c r="K5" s="267">
        <f ca="1">SP!L11-SP!L26</f>
        <v>635131.20394936786</v>
      </c>
      <c r="L5" s="267">
        <f ca="1">SP!M11-SP!M26</f>
        <v>672754.70409263566</v>
      </c>
      <c r="M5" s="267">
        <f ca="1">SP!N11-SP!N26</f>
        <v>758507.96573175502</v>
      </c>
      <c r="N5" s="267">
        <f ca="1">SP!O11-SP!O26</f>
        <v>846918.44712348795</v>
      </c>
      <c r="O5" s="267">
        <f ca="1">SP!P11-SP!P26</f>
        <v>938578.23269810097</v>
      </c>
      <c r="P5" s="267">
        <f ca="1">SP!Q11-SP!Q26</f>
        <v>1033581.7642238138</v>
      </c>
      <c r="Q5" s="267">
        <f ca="1">SP!R11-SP!R26</f>
        <v>1072001.7536637185</v>
      </c>
      <c r="R5" s="267">
        <f ca="1">SP!S11-SP!S26</f>
        <v>1173312.3594173754</v>
      </c>
      <c r="S5" s="267">
        <f ca="1">SP!T11-SP!T26</f>
        <v>1277576.3271004222</v>
      </c>
      <c r="T5" s="267">
        <f ca="1">SP!U11-SP!U26</f>
        <v>1385556.7017387017</v>
      </c>
      <c r="U5" s="267">
        <f ca="1">SP!V11-SP!V26</f>
        <v>1497360.3016609112</v>
      </c>
      <c r="V5" s="267">
        <f ca="1">SP!W11-SP!W26</f>
        <v>1540862.4266905836</v>
      </c>
      <c r="W5" s="267">
        <f ca="1">SP!X11-SP!X26</f>
        <v>1659927.8376624021</v>
      </c>
      <c r="X5" s="267">
        <f ca="1">SP!Y11-SP!Y26</f>
        <v>1782328.1740776142</v>
      </c>
      <c r="Y5" s="267">
        <f ca="1">SP!Z11-SP!Z26</f>
        <v>1908974.6723676987</v>
      </c>
      <c r="Z5" s="267">
        <f ca="1">SP!AA11-SP!AA26</f>
        <v>2039988.1277675489</v>
      </c>
      <c r="AA5" s="267">
        <f ca="1">SP!AB11-SP!AB26</f>
        <v>2092203.1370197267</v>
      </c>
      <c r="AB5" s="267">
        <f ca="1">SP!AC11-SP!AC26</f>
        <v>2231390.6604641904</v>
      </c>
      <c r="AC5" s="267">
        <f ca="1">SP!AD11-SP!AD26</f>
        <v>2374370.83266989</v>
      </c>
      <c r="AD5" s="267">
        <f ca="1">SP!AE11-SP!AE26</f>
        <v>2522190.9336416009</v>
      </c>
      <c r="AE5" s="267">
        <f ca="1">SP!AF11-SP!AF26</f>
        <v>2674987.3282251912</v>
      </c>
      <c r="AF5" s="267">
        <f ca="1">SP!AG11-SP!AG26</f>
        <v>2832899.9136568583</v>
      </c>
    </row>
    <row r="6" spans="1:32">
      <c r="A6" s="308" t="s">
        <v>225</v>
      </c>
      <c r="B6" s="267">
        <f ca="1">SP!C11/SP!C26</f>
        <v>2.9898240907645106</v>
      </c>
      <c r="C6" s="267">
        <f ca="1">SP!D11/SP!D26</f>
        <v>6.2040126605334365</v>
      </c>
      <c r="D6" s="267">
        <f ca="1">SP!E11/SP!E26</f>
        <v>9.4386851836117955</v>
      </c>
      <c r="E6" s="267">
        <f ca="1">SP!F11/SP!F26</f>
        <v>15.263449616474274</v>
      </c>
      <c r="F6" s="267">
        <f ca="1">SP!G11/SP!G26</f>
        <v>19.253760635175343</v>
      </c>
      <c r="G6" s="267">
        <f ca="1">SP!H11/SP!H26</f>
        <v>8.6079627149488811</v>
      </c>
      <c r="H6" s="267">
        <f ca="1">SP!I11/SP!I26</f>
        <v>25.61463168476028</v>
      </c>
      <c r="I6" s="267">
        <f ca="1">SP!J11/SP!J26</f>
        <v>29.66975516985244</v>
      </c>
      <c r="J6" s="267">
        <f ca="1">SP!K11/SP!K26</f>
        <v>33.749619402457867</v>
      </c>
      <c r="K6" s="267">
        <f ca="1">SP!L11/SP!L26</f>
        <v>37.854306581180467</v>
      </c>
      <c r="L6" s="267">
        <f ca="1">SP!M11/SP!M26</f>
        <v>11.665483246926692</v>
      </c>
      <c r="M6" s="267">
        <f ca="1">SP!N11/SP!N26</f>
        <v>43.554259181957342</v>
      </c>
      <c r="N6" s="267">
        <f ca="1">SP!O11/SP!O26</f>
        <v>47.720074642194987</v>
      </c>
      <c r="O6" s="267">
        <f ca="1">SP!P11/SP!P26</f>
        <v>51.910980403993953</v>
      </c>
      <c r="P6" s="267">
        <f ca="1">SP!Q11/SP!Q26</f>
        <v>56.127064609950715</v>
      </c>
      <c r="Q6" s="267">
        <f ca="1">SP!R11/SP!R26</f>
        <v>14.553853048650707</v>
      </c>
      <c r="R6" s="267">
        <f ca="1">SP!S11/SP!S26</f>
        <v>61.505070203499571</v>
      </c>
      <c r="S6" s="267">
        <f ca="1">SP!T11/SP!T26</f>
        <v>65.780459874765342</v>
      </c>
      <c r="T6" s="267">
        <f ca="1">SP!U11/SP!U26</f>
        <v>70.08130309855953</v>
      </c>
      <c r="U6" s="267">
        <f ca="1">SP!V11/SP!V26</f>
        <v>74.407693705792582</v>
      </c>
      <c r="V6" s="267">
        <f ca="1">SP!W11/SP!W26</f>
        <v>16.856663850980304</v>
      </c>
      <c r="W6" s="267">
        <f ca="1">SP!X11/SP!X26</f>
        <v>66.566397354704478</v>
      </c>
      <c r="X6" s="267">
        <f ca="1">SP!Y11/SP!Y26</f>
        <v>70.224341371376212</v>
      </c>
      <c r="Y6" s="267">
        <f ca="1">SP!Z11/SP!Z26</f>
        <v>73.903834870611789</v>
      </c>
      <c r="Z6" s="267">
        <f ca="1">SP!AA11/SP!AA26</f>
        <v>77.604960723144089</v>
      </c>
      <c r="AA6" s="267">
        <f ca="1">SP!AB11/SP!AB26</f>
        <v>19.955918389178628</v>
      </c>
      <c r="AB6" s="267">
        <f ca="1">SP!AC11/SP!AC26</f>
        <v>82.014537952385837</v>
      </c>
      <c r="AC6" s="267">
        <f ca="1">SP!AD11/SP!AD26</f>
        <v>85.764683387448855</v>
      </c>
      <c r="AD6" s="267">
        <f ca="1">SP!AE11/SP!AE26</f>
        <v>89.53671471973685</v>
      </c>
      <c r="AE6" s="267">
        <f ca="1">SP!AF11/SP!AF26</f>
        <v>93.330719257100981</v>
      </c>
      <c r="AF6" s="267">
        <f ca="1">SP!AG11/SP!AG26</f>
        <v>97.14678527598511</v>
      </c>
    </row>
    <row r="7" spans="1:32">
      <c r="A7" s="308"/>
    </row>
    <row r="8" spans="1:32" ht="16.5">
      <c r="A8" s="309" t="s">
        <v>226</v>
      </c>
    </row>
    <row r="9" spans="1:32">
      <c r="A9" s="308" t="s">
        <v>227</v>
      </c>
      <c r="B9" s="267">
        <f ca="1">SP!C33/SP!C39</f>
        <v>0.14320389846493436</v>
      </c>
      <c r="C9" s="267">
        <f ca="1">SP!D33/SP!D39</f>
        <v>0.10224329648830394</v>
      </c>
      <c r="D9" s="267">
        <f ca="1">SP!E33/SP!E39</f>
        <v>0.13786978786890347</v>
      </c>
      <c r="E9" s="267">
        <f ca="1">SP!F33/SP!F39</f>
        <v>0.16336020666208093</v>
      </c>
      <c r="F9" s="267">
        <f ca="1">SP!G33/SP!G39</f>
        <v>0.19223110066921803</v>
      </c>
      <c r="G9" s="267">
        <f ca="1">SP!H33/SP!H39</f>
        <v>0.21125613164005314</v>
      </c>
      <c r="H9" s="267">
        <f ca="1">SP!I33/SP!I39</f>
        <v>0.18483470820609663</v>
      </c>
      <c r="I9" s="267">
        <f ca="1">SP!J33/SP!J39</f>
        <v>0.2011891504376592</v>
      </c>
      <c r="J9" s="267">
        <f ca="1">SP!K33/SP!K39</f>
        <v>0.21487681584373144</v>
      </c>
      <c r="K9" s="267">
        <f ca="1">SP!L33/SP!L39</f>
        <v>0.22630032046177145</v>
      </c>
      <c r="L9" s="267">
        <f ca="1">SP!M33/SP!M39</f>
        <v>0.23579313755122833</v>
      </c>
      <c r="M9" s="267">
        <f ca="1">SP!N33/SP!N39</f>
        <v>0.19542021781849209</v>
      </c>
      <c r="N9" s="267">
        <f ca="1">SP!O33/SP!O39</f>
        <v>0.20525309545776982</v>
      </c>
      <c r="O9" s="267">
        <f ca="1">SP!P33/SP!P39</f>
        <v>0.21357365797453884</v>
      </c>
      <c r="P9" s="267">
        <f ca="1">SP!Q33/SP!Q39</f>
        <v>0.2205770653886352</v>
      </c>
      <c r="Q9" s="267">
        <f ca="1">SP!R33/SP!R39</f>
        <v>0.22643058012103201</v>
      </c>
      <c r="R9" s="267">
        <f ca="1">SP!S33/SP!S39</f>
        <v>0.1852804195117346</v>
      </c>
      <c r="S9" s="267">
        <f ca="1">SP!T33/SP!T39</f>
        <v>0.19215100945621555</v>
      </c>
      <c r="T9" s="267">
        <f ca="1">SP!U33/SP!U39</f>
        <v>0.19803303160902797</v>
      </c>
      <c r="U9" s="267">
        <f ca="1">SP!V33/SP!V39</f>
        <v>0.2030380302015245</v>
      </c>
      <c r="V9" s="267">
        <f ca="1">SP!W33/SP!W39</f>
        <v>0.20978279670818362</v>
      </c>
      <c r="W9" s="267">
        <f ca="1">SP!X33/SP!X39</f>
        <v>0.1716950130072048</v>
      </c>
      <c r="X9" s="267">
        <f ca="1">SP!Y33/SP!Y39</f>
        <v>0.17689284792277557</v>
      </c>
      <c r="Y9" s="267">
        <f ca="1">SP!Z33/SP!Z39</f>
        <v>0.18139014100020912</v>
      </c>
      <c r="Z9" s="267">
        <f ca="1">SP!AA33/SP!AA39</f>
        <v>0.18525737686193489</v>
      </c>
      <c r="AA9" s="267">
        <f ca="1">SP!AB33/SP!AB39</f>
        <v>0.18855750757842343</v>
      </c>
      <c r="AB9" s="267">
        <f ca="1">SP!AC33/SP!AC39</f>
        <v>0.15456684715659272</v>
      </c>
      <c r="AC9" s="267">
        <f ca="1">SP!AD33/SP!AD39</f>
        <v>0.15883883249633798</v>
      </c>
      <c r="AD9" s="267">
        <f ca="1">SP!AE33/SP!AE39</f>
        <v>0.1625807345371604</v>
      </c>
      <c r="AE9" s="267">
        <f ca="1">SP!AF33/SP!AF39</f>
        <v>0.16584056734545272</v>
      </c>
      <c r="AF9" s="267">
        <f ca="1">SP!AG33/SP!AG39</f>
        <v>0.16866179802939693</v>
      </c>
    </row>
    <row r="10" spans="1:32">
      <c r="A10" s="308" t="s">
        <v>228</v>
      </c>
      <c r="B10" s="267">
        <f ca="1">SP!C39/SP!C16</f>
        <v>1.15072984463752</v>
      </c>
      <c r="C10" s="267">
        <f ca="1">SP!D39/SP!D16</f>
        <v>1.1632061143770713</v>
      </c>
      <c r="D10" s="267">
        <f ca="1">SP!E39/SP!E16</f>
        <v>1.280367026570939</v>
      </c>
      <c r="E10" s="267">
        <f ca="1">SP!F39/SP!F16</f>
        <v>1.4148949665092465</v>
      </c>
      <c r="F10" s="267">
        <f ca="1">SP!G39/SP!G16</f>
        <v>1.5696628117994187</v>
      </c>
      <c r="G10" s="267">
        <f ca="1">SP!H39/SP!H16</f>
        <v>1.7098044944957596</v>
      </c>
      <c r="H10" s="267">
        <f ca="1">SP!I39/SP!I16</f>
        <v>1.8559859234114329</v>
      </c>
      <c r="I10" s="267">
        <f ca="1">SP!J39/SP!J16</f>
        <v>2.00840138531249</v>
      </c>
      <c r="J10" s="267">
        <f ca="1">SP!K39/SP!K16</f>
        <v>2.1681304542733066</v>
      </c>
      <c r="K10" s="267">
        <f ca="1">SP!L39/SP!L16</f>
        <v>2.3353980269418724</v>
      </c>
      <c r="L10" s="267">
        <f ca="1">SP!M39/SP!M16</f>
        <v>2.510435080818942</v>
      </c>
      <c r="M10" s="267">
        <f ca="1">SP!N39/SP!N16</f>
        <v>2.6920179888149565</v>
      </c>
      <c r="N10" s="267">
        <f ca="1">SP!O39/SP!O16</f>
        <v>2.8803575614033279</v>
      </c>
      <c r="O10" s="267">
        <f ca="1">SP!P39/SP!P16</f>
        <v>3.0771312667234745</v>
      </c>
      <c r="P10" s="267">
        <f ca="1">SP!Q39/SP!Q16</f>
        <v>3.2825944953092963</v>
      </c>
      <c r="Q10" s="267">
        <f ca="1">SP!R39/SP!R16</f>
        <v>3.4970094938733163</v>
      </c>
      <c r="R10" s="267">
        <f ca="1">SP!S39/SP!S16</f>
        <v>3.7187205457768577</v>
      </c>
      <c r="S10" s="267">
        <f ca="1">SP!T39/SP!T16</f>
        <v>3.9479609187958369</v>
      </c>
      <c r="T10" s="267">
        <f ca="1">SP!U39/SP!U16</f>
        <v>4.1868952910264845</v>
      </c>
      <c r="U10" s="267">
        <f ca="1">SP!V39/SP!V16</f>
        <v>4.4358131444852811</v>
      </c>
      <c r="V10" s="267">
        <f ca="1">SP!W39/SP!W16</f>
        <v>4.6951447385953973</v>
      </c>
      <c r="W10" s="267">
        <f ca="1">SP!X39/SP!X16</f>
        <v>4.9628823717939454</v>
      </c>
      <c r="X10" s="267">
        <f ca="1">SP!Y39/SP!Y16</f>
        <v>5.239159583205077</v>
      </c>
      <c r="Y10" s="267">
        <f ca="1">SP!Z39/SP!Z16</f>
        <v>5.5265630962268091</v>
      </c>
      <c r="Z10" s="267">
        <f ca="1">SP!AA39/SP!AA16</f>
        <v>5.8254209450808645</v>
      </c>
      <c r="AA10" s="267">
        <f ca="1">SP!AB39/SP!AB16</f>
        <v>6.1360698584729469</v>
      </c>
      <c r="AB10" s="267">
        <f ca="1">SP!AC39/SP!AC16</f>
        <v>6.456184366027526</v>
      </c>
      <c r="AC10" s="267">
        <f ca="1">SP!AD39/SP!AD16</f>
        <v>6.786059279818188</v>
      </c>
      <c r="AD10" s="267">
        <f ca="1">SP!AE39/SP!AE16</f>
        <v>7.1286685409676176</v>
      </c>
      <c r="AE10" s="267">
        <f ca="1">SP!AF39/SP!AF16</f>
        <v>7.4843831649719057</v>
      </c>
      <c r="AF10" s="267">
        <f ca="1">SP!AG39/SP!AG16</f>
        <v>7.8535839436989967</v>
      </c>
    </row>
    <row r="11" spans="1:32">
      <c r="A11" s="308" t="s">
        <v>249</v>
      </c>
      <c r="B11" s="267">
        <f ca="1">SP!C39-SP!C16</f>
        <v>25802.753048617393</v>
      </c>
      <c r="C11" s="267">
        <f ca="1">SP!D39-SP!D16</f>
        <v>65935.270208336879</v>
      </c>
      <c r="D11" s="267">
        <f ca="1">SP!E39-SP!E16</f>
        <v>108221.67225638253</v>
      </c>
      <c r="E11" s="267">
        <f ca="1">SP!F39-SP!F16</f>
        <v>152681.34767540277</v>
      </c>
      <c r="F11" s="267">
        <f ca="1">SP!G39-SP!G16</f>
        <v>199381.98412979662</v>
      </c>
      <c r="G11" s="267">
        <f ca="1">SP!H39-SP!H16</f>
        <v>248431.5730735159</v>
      </c>
      <c r="H11" s="267">
        <f ca="1">SP!I39-SP!I16</f>
        <v>299595.07319400157</v>
      </c>
      <c r="I11" s="267">
        <f ca="1">SP!J39-SP!J16</f>
        <v>352940.48485937167</v>
      </c>
      <c r="J11" s="267">
        <f ca="1">SP!K39-SP!K16</f>
        <v>408845.65899565746</v>
      </c>
      <c r="K11" s="267">
        <f ca="1">SP!L39-SP!L16</f>
        <v>467389.30942965543</v>
      </c>
      <c r="L11" s="267">
        <f ca="1">SP!M39-SP!M16</f>
        <v>528652.27828662982</v>
      </c>
      <c r="M11" s="267">
        <f ca="1">SP!N39-SP!N16</f>
        <v>592206.29608523496</v>
      </c>
      <c r="N11" s="267">
        <f ca="1">SP!O39-SP!O16</f>
        <v>658125.14649116492</v>
      </c>
      <c r="O11" s="267">
        <f ca="1">SP!P39-SP!P16</f>
        <v>726995.94335321628</v>
      </c>
      <c r="P11" s="267">
        <f ca="1">SP!Q39-SP!Q16</f>
        <v>798908.07335825393</v>
      </c>
      <c r="Q11" s="267">
        <f ca="1">SP!R39-SP!R16</f>
        <v>873953.32285566104</v>
      </c>
      <c r="R11" s="267">
        <f ca="1">SP!S39-SP!S16</f>
        <v>951552.19102190051</v>
      </c>
      <c r="S11" s="267">
        <f ca="1">SP!T39-SP!T16</f>
        <v>1031786.3215785433</v>
      </c>
      <c r="T11" s="267">
        <f ca="1">SP!U39-SP!U16</f>
        <v>1115413.3518592701</v>
      </c>
      <c r="U11" s="267">
        <f ca="1">SP!V39-SP!V16</f>
        <v>1202534.6005698489</v>
      </c>
      <c r="V11" s="267">
        <f ca="1">SP!W39-SP!W16</f>
        <v>1293300.6585083897</v>
      </c>
      <c r="W11" s="267">
        <f ca="1">SP!X39-SP!X16</f>
        <v>1387008.8301278814</v>
      </c>
      <c r="X11" s="267">
        <f ca="1">SP!Y39-SP!Y16</f>
        <v>1483705.8541217777</v>
      </c>
      <c r="Y11" s="267">
        <f ca="1">SP!Z39-SP!Z16</f>
        <v>1584297.0836793836</v>
      </c>
      <c r="Z11" s="267">
        <f ca="1">SP!AA39-SP!AA16</f>
        <v>1688897.3307783031</v>
      </c>
      <c r="AA11" s="267">
        <f ca="1">SP!AB39-SP!AB16</f>
        <v>1797624.450465532</v>
      </c>
      <c r="AB11" s="267">
        <f ca="1">SP!AC39-SP!AC16</f>
        <v>1909664.5281096348</v>
      </c>
      <c r="AC11" s="267">
        <f ca="1">SP!AD39-SP!AD16</f>
        <v>2025120.7479363666</v>
      </c>
      <c r="AD11" s="267">
        <f ca="1">SP!AE39-SP!AE16</f>
        <v>2145033.9893386671</v>
      </c>
      <c r="AE11" s="267">
        <f ca="1">SP!AF39-SP!AF16</f>
        <v>2269534.107740168</v>
      </c>
      <c r="AF11" s="267">
        <f ca="1">SP!AG39-SP!AG16</f>
        <v>2398754.3802946499</v>
      </c>
    </row>
    <row r="12" spans="1:32">
      <c r="A12" s="308"/>
    </row>
    <row r="13" spans="1:32" ht="16.5">
      <c r="A13" s="309" t="s">
        <v>229</v>
      </c>
    </row>
    <row r="14" spans="1:32">
      <c r="A14" s="308" t="s">
        <v>230</v>
      </c>
    </row>
    <row r="15" spans="1:32">
      <c r="A15" s="310" t="s">
        <v>231</v>
      </c>
      <c r="B15" s="267">
        <f>CE!E23/CE!E5</f>
        <v>0.18245721092592582</v>
      </c>
      <c r="C15" s="267" t="e">
        <f>CE!F23/CE!F5</f>
        <v>#DIV/0!</v>
      </c>
      <c r="D15" s="267" t="e">
        <f>CE!G23/CE!G5</f>
        <v>#DIV/0!</v>
      </c>
      <c r="E15" s="267" t="e">
        <f>CE!H23/CE!H5</f>
        <v>#DIV/0!</v>
      </c>
      <c r="F15" s="267" t="e">
        <f>CE!I23/CE!I5</f>
        <v>#DIV/0!</v>
      </c>
      <c r="G15" s="267" t="e">
        <f>CE!J23/CE!J5</f>
        <v>#DIV/0!</v>
      </c>
      <c r="H15" s="267" t="e">
        <f>CE!K23/CE!K5</f>
        <v>#DIV/0!</v>
      </c>
      <c r="I15" s="267" t="e">
        <f>CE!L23/CE!L5</f>
        <v>#DIV/0!</v>
      </c>
      <c r="J15" s="267" t="e">
        <f>CE!M23/CE!M5</f>
        <v>#DIV/0!</v>
      </c>
      <c r="K15" s="267" t="e">
        <f>CE!N23/CE!N5</f>
        <v>#DIV/0!</v>
      </c>
      <c r="L15" s="267" t="e">
        <f>CE!O23/CE!O5</f>
        <v>#DIV/0!</v>
      </c>
      <c r="M15" s="267" t="e">
        <f>CE!P23/CE!P5</f>
        <v>#DIV/0!</v>
      </c>
      <c r="N15" s="267" t="e">
        <f>CE!Q23/CE!Q5</f>
        <v>#DIV/0!</v>
      </c>
      <c r="O15" s="267" t="e">
        <f>CE!R23/CE!R5</f>
        <v>#DIV/0!</v>
      </c>
      <c r="P15" s="267" t="e">
        <f>CE!S23/CE!S5</f>
        <v>#DIV/0!</v>
      </c>
      <c r="Q15" s="267" t="e">
        <f>CE!T23/CE!T5</f>
        <v>#DIV/0!</v>
      </c>
      <c r="R15" s="267" t="e">
        <f>CE!U23/CE!U5</f>
        <v>#DIV/0!</v>
      </c>
      <c r="S15" s="267" t="e">
        <f>CE!V23/CE!V5</f>
        <v>#DIV/0!</v>
      </c>
      <c r="T15" s="267" t="e">
        <f>CE!W23/CE!W5</f>
        <v>#DIV/0!</v>
      </c>
      <c r="U15" s="267" t="e">
        <f>CE!X23/CE!X5</f>
        <v>#DIV/0!</v>
      </c>
      <c r="V15" s="267" t="e">
        <f>CE!Y23/CE!Y5</f>
        <v>#DIV/0!</v>
      </c>
      <c r="W15" s="267" t="e">
        <f>CE!Z23/CE!Z5</f>
        <v>#DIV/0!</v>
      </c>
      <c r="X15" s="267" t="e">
        <f>CE!AA23/CE!AA5</f>
        <v>#DIV/0!</v>
      </c>
      <c r="Y15" s="267" t="e">
        <f>CE!AB23/CE!AB5</f>
        <v>#DIV/0!</v>
      </c>
      <c r="Z15" s="267" t="e">
        <f>CE!AC23/CE!AC5</f>
        <v>#DIV/0!</v>
      </c>
      <c r="AA15" s="267" t="e">
        <f>CE!AD23/CE!AD5</f>
        <v>#DIV/0!</v>
      </c>
      <c r="AB15" s="267" t="e">
        <f>CE!AE23/CE!AE5</f>
        <v>#DIV/0!</v>
      </c>
      <c r="AC15" s="267" t="e">
        <f>CE!AF23/CE!AF5</f>
        <v>#DIV/0!</v>
      </c>
      <c r="AD15" s="267" t="e">
        <f>CE!AG23/CE!AG5</f>
        <v>#DIV/0!</v>
      </c>
      <c r="AE15" s="267" t="e">
        <f>CE!AH23/CE!AH5</f>
        <v>#DIV/0!</v>
      </c>
      <c r="AF15" s="267" t="e">
        <f>CE!AI23/CE!AI5</f>
        <v>#DIV/0!</v>
      </c>
    </row>
    <row r="16" spans="1:32">
      <c r="A16" s="310" t="s">
        <v>232</v>
      </c>
      <c r="B16" s="267">
        <f ca="1">CE!E23/SP!C18</f>
        <v>0.24306275638474334</v>
      </c>
      <c r="C16" s="267">
        <f ca="1">CE!F23/SP!D18</f>
        <v>-0.92503153312983144</v>
      </c>
      <c r="D16" s="267">
        <f ca="1">CE!G23/SP!E18</f>
        <v>-0.86582482525495852</v>
      </c>
      <c r="E16" s="267">
        <f ca="1">CE!H23/SP!F18</f>
        <v>-0.81683823197372774</v>
      </c>
      <c r="F16" s="267">
        <f ca="1">CE!I23/SP!G18</f>
        <v>-0.76766331370500662</v>
      </c>
      <c r="G16" s="267">
        <f ca="1">CE!J23/SP!H18</f>
        <v>-0.68009403075640984</v>
      </c>
      <c r="H16" s="267">
        <f ca="1">CE!K23/SP!I18</f>
        <v>-0.65127780110783973</v>
      </c>
      <c r="I16" s="267">
        <f ca="1">CE!L23/SP!J18</f>
        <v>-0.60365019075700377</v>
      </c>
      <c r="J16" s="267">
        <f ca="1">CE!M23/SP!K18</f>
        <v>-0.56218510407192146</v>
      </c>
      <c r="K16" s="267">
        <f ca="1">CE!N23/SP!L18</f>
        <v>-0.52576315678672048</v>
      </c>
      <c r="L16" s="267">
        <f ca="1">CE!O23/SP!M18</f>
        <v>-0.49352050024133948</v>
      </c>
      <c r="M16" s="267">
        <f ca="1">CE!P23/SP!N18</f>
        <v>-0.48378748549253758</v>
      </c>
      <c r="N16" s="267">
        <f ca="1">CE!Q23/SP!O18</f>
        <v>-0.4560189178880194</v>
      </c>
      <c r="O16" s="267">
        <f ca="1">CE!R23/SP!P18</f>
        <v>-0.43107297100023934</v>
      </c>
      <c r="P16" s="267">
        <f ca="1">CE!S23/SP!Q18</f>
        <v>-0.40854230820329857</v>
      </c>
      <c r="Q16" s="267">
        <f ca="1">CE!T23/SP!R18</f>
        <v>-0.38809432266143973</v>
      </c>
      <c r="R16" s="267">
        <f ca="1">CE!U23/SP!S18</f>
        <v>-0.38399101272162894</v>
      </c>
      <c r="S16" s="267">
        <f ca="1">CE!V23/SP!T18</f>
        <v>-0.36567163337239977</v>
      </c>
      <c r="T16" s="267">
        <f ca="1">CE!W23/SP!U18</f>
        <v>-0.34889535323850407</v>
      </c>
      <c r="U16" s="267">
        <f ca="1">CE!X23/SP!V18</f>
        <v>-0.33347644803890364</v>
      </c>
      <c r="V16" s="267">
        <f ca="1">CE!Y23/SP!W18</f>
        <v>-0.31858406518873639</v>
      </c>
      <c r="W16" s="267">
        <f ca="1">CE!Z23/SP!X18</f>
        <v>-0.31644301551057613</v>
      </c>
      <c r="X16" s="267">
        <f ca="1">CE!AA23/SP!Y18</f>
        <v>-0.30346605319115377</v>
      </c>
      <c r="Y16" s="267">
        <f ca="1">CE!AB23/SP!Z18</f>
        <v>-0.29142426955343814</v>
      </c>
      <c r="Z16" s="267">
        <f ca="1">CE!AC23/SP!AA18</f>
        <v>-0.28022098518909161</v>
      </c>
      <c r="AA16" s="267">
        <f ca="1">CE!AD23/SP!AB18</f>
        <v>-0.26977238353109423</v>
      </c>
      <c r="AB16" s="267">
        <f ca="1">CE!AE23/SP!AC18</f>
        <v>-0.26839919911925791</v>
      </c>
      <c r="AC16" s="267">
        <f ca="1">CE!AF23/SP!AD18</f>
        <v>-0.25870489503958088</v>
      </c>
      <c r="AD16" s="267">
        <f ca="1">CE!AG23/SP!AE18</f>
        <v>-0.24962252104212726</v>
      </c>
      <c r="AE16" s="267">
        <f ca="1">CE!AH23/SP!AF18</f>
        <v>-0.24109652580097859</v>
      </c>
      <c r="AF16" s="267">
        <f ca="1">CE!AI23/SP!AG18</f>
        <v>-0.23307787133659535</v>
      </c>
    </row>
    <row r="17" spans="1:32">
      <c r="A17" s="310" t="s">
        <v>233</v>
      </c>
      <c r="B17" s="267">
        <f>CE!E23/SP!C16</f>
        <v>0.31975363641284404</v>
      </c>
      <c r="C17" s="267">
        <f>CE!F23/SP!D16</f>
        <v>-1.1860163611212868</v>
      </c>
      <c r="D17" s="267">
        <f>CE!G23/SP!E16</f>
        <v>-1.2614123581895875</v>
      </c>
      <c r="E17" s="267">
        <f>CE!H23/SP!F16</f>
        <v>-1.3445422775967957</v>
      </c>
      <c r="F17" s="267">
        <f>CE!I23/SP!G16</f>
        <v>-1.4366057561264751</v>
      </c>
      <c r="G17" s="267">
        <f>CE!J23/SP!H16</f>
        <v>-1.4084823396949107</v>
      </c>
      <c r="H17" s="267">
        <f>CE!K23/SP!I16</f>
        <v>-1.432183682326867</v>
      </c>
      <c r="I17" s="267">
        <f>CE!L23/SP!J16</f>
        <v>-1.456287947783566</v>
      </c>
      <c r="J17" s="267">
        <f>CE!M23/SP!K16</f>
        <v>-1.4808019857530295</v>
      </c>
      <c r="K17" s="267">
        <f>CE!N23/SP!L16</f>
        <v>-1.5057327623679737</v>
      </c>
      <c r="L17" s="267">
        <f>CE!O23/SP!M16</f>
        <v>-1.5310873621853722</v>
      </c>
      <c r="M17" s="267">
        <f>CE!P23/SP!N16</f>
        <v>-1.5568729901996663</v>
      </c>
      <c r="N17" s="267">
        <f>CE!Q23/SP!O16</f>
        <v>-1.5830969738902034</v>
      </c>
      <c r="O17" s="267">
        <f>CE!R23/SP!P16</f>
        <v>-1.6097667653034795</v>
      </c>
      <c r="P17" s="267">
        <f>CE!S23/SP!Q16</f>
        <v>-1.6368899431707811</v>
      </c>
      <c r="Q17" s="267">
        <f>CE!T23/SP!R16</f>
        <v>-1.6644742150618272</v>
      </c>
      <c r="R17" s="267">
        <f>CE!U23/SP!S16</f>
        <v>-1.6925274195750211</v>
      </c>
      <c r="S17" s="267">
        <f>CE!V23/SP!T16</f>
        <v>-1.721057528564939</v>
      </c>
      <c r="T17" s="267">
        <f>CE!W23/SP!U16</f>
        <v>-1.7500726494076859</v>
      </c>
      <c r="U17" s="267">
        <f>CE!X23/SP!V16</f>
        <v>-1.779581027304759</v>
      </c>
      <c r="V17" s="267">
        <f>CE!Y23/SP!W16</f>
        <v>-1.8095910476260826</v>
      </c>
      <c r="W17" s="267">
        <f>CE!Z23/SP!X16</f>
        <v>-1.8401112382928688</v>
      </c>
      <c r="X17" s="267">
        <f>CE!AA23/SP!Y16</f>
        <v>-1.8711502722009903</v>
      </c>
      <c r="Y17" s="267">
        <f>CE!AB23/SP!Z16</f>
        <v>-1.9027169696855495</v>
      </c>
      <c r="Z17" s="267">
        <f>CE!AC23/SP!AA16</f>
        <v>-1.9348203010273468</v>
      </c>
      <c r="AA17" s="267">
        <f>CE!AD23/SP!AB16</f>
        <v>-1.9674693890019546</v>
      </c>
      <c r="AB17" s="267">
        <f>CE!AE23/SP!AC16</f>
        <v>-2.0006735114721304</v>
      </c>
      <c r="AC17" s="267">
        <f>CE!AF23/SP!AD16</f>
        <v>-2.0344421040242997</v>
      </c>
      <c r="AD17" s="267">
        <f>CE!AG23/SP!AE16</f>
        <v>-2.0687847626498552</v>
      </c>
      <c r="AE17" s="267">
        <f>CE!AH23/SP!AF16</f>
        <v>-2.1037112464720455</v>
      </c>
      <c r="AF17" s="267">
        <f>CE!AI23/SP!AG16</f>
        <v>-2.139231480519213</v>
      </c>
    </row>
    <row r="18" spans="1:32">
      <c r="A18" s="308" t="s">
        <v>234</v>
      </c>
      <c r="B18" s="267">
        <f>Ipotesi!C15</f>
        <v>5.5E-2</v>
      </c>
      <c r="C18" s="267">
        <f>Ipotesi!D15</f>
        <v>5.5E-2</v>
      </c>
      <c r="D18" s="267">
        <f>Ipotesi!E15</f>
        <v>5.5E-2</v>
      </c>
      <c r="E18" s="267">
        <f>Ipotesi!F15</f>
        <v>5.5E-2</v>
      </c>
      <c r="F18" s="267">
        <f>Ipotesi!G15</f>
        <v>5.5E-2</v>
      </c>
      <c r="G18" s="267">
        <f>Ipotesi!H15</f>
        <v>5.5E-2</v>
      </c>
      <c r="H18" s="267">
        <f>Ipotesi!I15</f>
        <v>5.5E-2</v>
      </c>
      <c r="I18" s="267">
        <f>Ipotesi!J15</f>
        <v>5.5E-2</v>
      </c>
      <c r="J18" s="267">
        <f>Ipotesi!K15</f>
        <v>5.5E-2</v>
      </c>
      <c r="K18" s="267">
        <f>Ipotesi!L15</f>
        <v>5.5E-2</v>
      </c>
      <c r="L18" s="267">
        <f>Ipotesi!M15</f>
        <v>5.5E-2</v>
      </c>
      <c r="M18" s="267">
        <f>Ipotesi!N15</f>
        <v>5.5E-2</v>
      </c>
      <c r="N18" s="267">
        <f>Ipotesi!O15</f>
        <v>5.5E-2</v>
      </c>
      <c r="O18" s="267">
        <f>Ipotesi!P15</f>
        <v>5.5E-2</v>
      </c>
      <c r="P18" s="267">
        <f>Ipotesi!Q15</f>
        <v>5.5E-2</v>
      </c>
      <c r="Q18" s="267">
        <f>Ipotesi!R15</f>
        <v>5.5E-2</v>
      </c>
      <c r="R18" s="267">
        <f>Ipotesi!S15</f>
        <v>5.5E-2</v>
      </c>
      <c r="S18" s="267">
        <f>Ipotesi!T15</f>
        <v>5.5E-2</v>
      </c>
      <c r="T18" s="267">
        <f>Ipotesi!U15</f>
        <v>5.5E-2</v>
      </c>
      <c r="U18" s="267">
        <f>Ipotesi!V15</f>
        <v>5.5E-2</v>
      </c>
      <c r="V18" s="267">
        <f>Ipotesi!W15</f>
        <v>5.5E-2</v>
      </c>
      <c r="W18" s="267">
        <f>Ipotesi!X15</f>
        <v>5.5E-2</v>
      </c>
      <c r="X18" s="267">
        <f>Ipotesi!Y15</f>
        <v>5.5E-2</v>
      </c>
      <c r="Y18" s="267">
        <f>Ipotesi!Z15</f>
        <v>5.5E-2</v>
      </c>
      <c r="Z18" s="267">
        <f>Ipotesi!AA15</f>
        <v>5.5E-2</v>
      </c>
      <c r="AA18" s="267">
        <f>Ipotesi!AB15</f>
        <v>5.5E-2</v>
      </c>
      <c r="AB18" s="267">
        <f>Ipotesi!AC15</f>
        <v>5.5E-2</v>
      </c>
      <c r="AC18" s="267">
        <f>Ipotesi!AD15</f>
        <v>5.5E-2</v>
      </c>
      <c r="AD18" s="267">
        <f>Ipotesi!AE15</f>
        <v>5.5E-2</v>
      </c>
      <c r="AE18" s="267">
        <f>Ipotesi!AF15</f>
        <v>5.5E-2</v>
      </c>
      <c r="AF18" s="267">
        <f>Ipotesi!AG15</f>
        <v>5.5E-2</v>
      </c>
    </row>
    <row r="19" spans="1:32">
      <c r="A19" s="308" t="s">
        <v>235</v>
      </c>
      <c r="B19" s="267">
        <f ca="1">B16-B18</f>
        <v>0.18806275638474335</v>
      </c>
      <c r="C19" s="267">
        <f t="shared" ref="C19:AF19" ca="1" si="0">C16-C18</f>
        <v>-0.98003153312983149</v>
      </c>
      <c r="D19" s="267">
        <f t="shared" ca="1" si="0"/>
        <v>-0.92082482525495857</v>
      </c>
      <c r="E19" s="267">
        <f t="shared" ca="1" si="0"/>
        <v>-0.87183823197372778</v>
      </c>
      <c r="F19" s="267">
        <f t="shared" ca="1" si="0"/>
        <v>-0.82266331370500667</v>
      </c>
      <c r="G19" s="267">
        <f t="shared" ca="1" si="0"/>
        <v>-0.73509403075640989</v>
      </c>
      <c r="H19" s="267">
        <f t="shared" ca="1" si="0"/>
        <v>-0.70627780110783978</v>
      </c>
      <c r="I19" s="267">
        <f t="shared" ca="1" si="0"/>
        <v>-0.65865019075700382</v>
      </c>
      <c r="J19" s="267">
        <f t="shared" ca="1" si="0"/>
        <v>-0.61718510407192151</v>
      </c>
      <c r="K19" s="267">
        <f t="shared" ca="1" si="0"/>
        <v>-0.58076315678672052</v>
      </c>
      <c r="L19" s="267">
        <f t="shared" ca="1" si="0"/>
        <v>-0.54852050024133947</v>
      </c>
      <c r="M19" s="267">
        <f t="shared" ca="1" si="0"/>
        <v>-0.53878748549253763</v>
      </c>
      <c r="N19" s="267">
        <f t="shared" ca="1" si="0"/>
        <v>-0.51101891788801945</v>
      </c>
      <c r="O19" s="267">
        <f t="shared" ca="1" si="0"/>
        <v>-0.48607297100023933</v>
      </c>
      <c r="P19" s="267">
        <f t="shared" ca="1" si="0"/>
        <v>-0.46354230820329856</v>
      </c>
      <c r="Q19" s="267">
        <f t="shared" ca="1" si="0"/>
        <v>-0.44309432266143972</v>
      </c>
      <c r="R19" s="267">
        <f t="shared" ca="1" si="0"/>
        <v>-0.43899101272162894</v>
      </c>
      <c r="S19" s="267">
        <f t="shared" ca="1" si="0"/>
        <v>-0.42067163337239977</v>
      </c>
      <c r="T19" s="267">
        <f t="shared" ca="1" si="0"/>
        <v>-0.40389535323850406</v>
      </c>
      <c r="U19" s="267">
        <f t="shared" ca="1" si="0"/>
        <v>-0.38847644803890363</v>
      </c>
      <c r="V19" s="267">
        <f t="shared" ca="1" si="0"/>
        <v>-0.37358406518873638</v>
      </c>
      <c r="W19" s="267">
        <f t="shared" ca="1" si="0"/>
        <v>-0.37144301551057612</v>
      </c>
      <c r="X19" s="267">
        <f t="shared" ca="1" si="0"/>
        <v>-0.35846605319115377</v>
      </c>
      <c r="Y19" s="267">
        <f t="shared" ca="1" si="0"/>
        <v>-0.34642426955343814</v>
      </c>
      <c r="Z19" s="267">
        <f t="shared" ca="1" si="0"/>
        <v>-0.3352209851890916</v>
      </c>
      <c r="AA19" s="267">
        <f t="shared" ca="1" si="0"/>
        <v>-0.32477238353109422</v>
      </c>
      <c r="AB19" s="267">
        <f t="shared" ca="1" si="0"/>
        <v>-0.32339919911925791</v>
      </c>
      <c r="AC19" s="267">
        <f t="shared" ca="1" si="0"/>
        <v>-0.31370489503958088</v>
      </c>
      <c r="AD19" s="267">
        <f t="shared" ca="1" si="0"/>
        <v>-0.30462252104212728</v>
      </c>
      <c r="AE19" s="267">
        <f t="shared" ca="1" si="0"/>
        <v>-0.29609652580097862</v>
      </c>
      <c r="AF19" s="267">
        <f t="shared" ca="1" si="0"/>
        <v>-0.28807787133659535</v>
      </c>
    </row>
    <row r="20" spans="1:32" hidden="1" outlineLevel="1">
      <c r="A20" s="308" t="s">
        <v>236</v>
      </c>
    </row>
    <row r="21" spans="1:32" hidden="1" outlineLevel="1">
      <c r="A21" s="308" t="s">
        <v>237</v>
      </c>
    </row>
    <row r="22" spans="1:32" collapsed="1">
      <c r="A22" s="308" t="s">
        <v>238</v>
      </c>
      <c r="B22" s="267">
        <f>CE!E23/SP!C35</f>
        <v>1.0947432655555549</v>
      </c>
      <c r="C22" s="267">
        <f>CE!F23/SP!D35</f>
        <v>-9.5830121978600005</v>
      </c>
      <c r="D22" s="267">
        <f>CE!G23/SP!E35</f>
        <v>-9.7381034052236188</v>
      </c>
      <c r="E22" s="267">
        <f>CE!H23/SP!F35</f>
        <v>-9.8958311631124207</v>
      </c>
      <c r="F22" s="267">
        <f>CE!I23/SP!G35</f>
        <v>-10.056240292885329</v>
      </c>
      <c r="G22" s="267">
        <f>CE!J23/SP!H35</f>
        <v>-9.8593763778643773</v>
      </c>
      <c r="H22" s="267">
        <f>CE!K23/SP!I35</f>
        <v>-10.025285776288072</v>
      </c>
      <c r="I22" s="267">
        <f>CE!L23/SP!J35</f>
        <v>-10.194015634484964</v>
      </c>
      <c r="J22" s="267">
        <f>CE!M23/SP!K35</f>
        <v>-10.36561390027121</v>
      </c>
      <c r="K22" s="267">
        <f>CE!N23/SP!L35</f>
        <v>-10.54012933657582</v>
      </c>
      <c r="L22" s="267">
        <f>CE!O23/SP!M35</f>
        <v>-10.717611535297609</v>
      </c>
      <c r="M22" s="267">
        <f>CE!P23/SP!N35</f>
        <v>-10.898110931397667</v>
      </c>
      <c r="N22" s="267">
        <f>CE!Q23/SP!O35</f>
        <v>-11.081678817231428</v>
      </c>
      <c r="O22" s="267">
        <f>CE!R23/SP!P35</f>
        <v>-11.26836735712436</v>
      </c>
      <c r="P22" s="267">
        <f>CE!S23/SP!Q35</f>
        <v>-11.458229602195471</v>
      </c>
      <c r="Q22" s="267">
        <f>CE!T23/SP!R35</f>
        <v>-11.651319505432795</v>
      </c>
      <c r="R22" s="267">
        <f>CE!U23/SP!S35</f>
        <v>-11.847691937025152</v>
      </c>
      <c r="S22" s="267">
        <f>CE!V23/SP!T35</f>
        <v>-12.047402699954578</v>
      </c>
      <c r="T22" s="267">
        <f>CE!W23/SP!U35</f>
        <v>-12.250508545853805</v>
      </c>
      <c r="U22" s="267">
        <f>CE!X23/SP!V35</f>
        <v>-12.457067191133318</v>
      </c>
      <c r="V22" s="267">
        <f>CE!Y23/SP!W35</f>
        <v>-12.667137333382582</v>
      </c>
      <c r="W22" s="267">
        <f>CE!Z23/SP!X35</f>
        <v>-12.880778668050086</v>
      </c>
      <c r="X22" s="267">
        <f>CE!AA23/SP!Y35</f>
        <v>-13.098051905406937</v>
      </c>
      <c r="Y22" s="267">
        <f>CE!AB23/SP!Z35</f>
        <v>-13.319018787798852</v>
      </c>
      <c r="Z22" s="267">
        <f>CE!AC23/SP!AA35</f>
        <v>-13.543742107191433</v>
      </c>
      <c r="AA22" s="267">
        <f>CE!AD23/SP!AB35</f>
        <v>-13.772285723013686</v>
      </c>
      <c r="AB22" s="267">
        <f>CE!AE23/SP!AC35</f>
        <v>-14.004714580304917</v>
      </c>
      <c r="AC22" s="267">
        <f>CE!AF23/SP!AD35</f>
        <v>-14.241094728170102</v>
      </c>
      <c r="AD22" s="267">
        <f>CE!AG23/SP!AE35</f>
        <v>-14.481493338548992</v>
      </c>
      <c r="AE22" s="267">
        <f>CE!AH23/SP!AF35</f>
        <v>-14.725978725304325</v>
      </c>
      <c r="AF22" s="267">
        <f>CE!AI23/SP!AG35</f>
        <v>-14.974620363634497</v>
      </c>
    </row>
    <row r="23" spans="1:32" ht="16.5">
      <c r="A23" s="347" t="s">
        <v>239</v>
      </c>
    </row>
    <row r="24" spans="1:32">
      <c r="A24" s="308" t="s">
        <v>250</v>
      </c>
      <c r="B24" s="267">
        <f ca="1">(B17+(B17-B18)*SP!C33/SP!C39)*CE!E29/CE!E27</f>
        <v>0.30787227899786029</v>
      </c>
      <c r="C24" s="267">
        <f ca="1">(C17+(C17-C18)*SP!D33/SP!D39)*CE!F29/CE!F27</f>
        <v>-0.91215264610850388</v>
      </c>
      <c r="D24" s="267">
        <f ca="1">(D17+(D17-D18)*SP!E33/SP!E39)*CE!G29/CE!G27</f>
        <v>-1.0129650249027435</v>
      </c>
      <c r="E24" s="267">
        <f ca="1">(E17+(E17-E18)*SP!F33/SP!F39)*CE!H29/CE!H27</f>
        <v>-1.1142983853502755</v>
      </c>
      <c r="F24" s="267">
        <f ca="1">(F17+(F17-F18)*SP!G33/SP!G39)*CE!I29/CE!I27</f>
        <v>-1.2301934344494607</v>
      </c>
      <c r="G24" s="267">
        <f ca="1">(G17+(G17-G18)*SP!H33/SP!H39)*CE!J29/CE!J27</f>
        <v>-1.3766670615652878</v>
      </c>
      <c r="H24" s="267">
        <f ca="1">(H17+(H17-H18)*SP!I33/SP!I39)*CE!K29/CE!K27</f>
        <v>-1.3674420992064187</v>
      </c>
      <c r="I24" s="267">
        <f ca="1">(I17+(I17-I18)*SP!J33/SP!J39)*CE!L29/CE!L27</f>
        <v>-1.4093347805393865</v>
      </c>
      <c r="J24" s="267">
        <f ca="1">(J17+(J17-J18)*SP!K33/SP!K39)*CE!M29/CE!M27</f>
        <v>-1.4482670163620843</v>
      </c>
      <c r="K24" s="267">
        <f ca="1">(K17+(K17-K18)*SP!L33/SP!L39)*CE!N29/CE!N27</f>
        <v>-1.4852804914569495</v>
      </c>
      <c r="L24" s="267">
        <f ca="1">(L17+(L17-L18)*SP!M33/SP!M39)*CE!O29/CE!O27</f>
        <v>-1.5206868226084311</v>
      </c>
      <c r="M24" s="267">
        <f ca="1">(M17+(M17-M18)*SP!N33/SP!N39)*CE!P29/CE!P27</f>
        <v>-1.4937067453973047</v>
      </c>
      <c r="N24" s="267">
        <f ca="1">(N17+(N17-N18)*SP!O33/SP!O39)*CE!Q29/CE!Q27</f>
        <v>-1.5310562745271714</v>
      </c>
      <c r="O24" s="267">
        <f ca="1">(O17+(O17-O18)*SP!P33/SP!P39)*CE!R29/CE!R27</f>
        <v>-1.5662790683552807</v>
      </c>
      <c r="P24" s="267">
        <f ca="1">(P17+(P17-P18)*SP!Q33/SP!Q39)*CE!S29/CE!S27</f>
        <v>-1.6004904390369581</v>
      </c>
      <c r="Q24" s="267">
        <f ca="1">(Q17+(Q17-Q18)*SP!R33/SP!R39)*CE!T29/CE!T27</f>
        <v>-1.6338521805078625</v>
      </c>
      <c r="R24" s="267">
        <f ca="1">(R17+(R17-R18)*SP!S33/SP!S39)*CE!U29/CE!U27</f>
        <v>-1.6036469846250145</v>
      </c>
      <c r="S24" s="267">
        <f ca="1">(S17+(S17-S18)*SP!T33/SP!T39)*CE!V29/CE!V27</f>
        <v>-1.6398305040955823</v>
      </c>
      <c r="T24" s="267">
        <f ca="1">(T17+(T17-T18)*SP!U33/SP!U39)*CE!W29/CE!W27</f>
        <v>-1.6743119262516766</v>
      </c>
      <c r="U24" s="267">
        <f ca="1">(U17+(U17-U18)*SP!V33/SP!V39)*CE!X29/CE!X27</f>
        <v>-1.7082299852356246</v>
      </c>
      <c r="V24" s="267">
        <f ca="1">(V17+(V17-V18)*SP!W33/SP!W39)*CE!Y29/CE!Y27</f>
        <v>-1.7453443250227605</v>
      </c>
      <c r="W24" s="267">
        <f ca="1">(W17+(W17-W18)*SP!X33/SP!X39)*CE!Z29/CE!Z27</f>
        <v>-1.7169695569660932</v>
      </c>
      <c r="X24" s="267">
        <f ca="1">(X17+(X17-X18)*SP!Y33/SP!Y39)*CE!AA29/CE!AA27</f>
        <v>-1.7533450551573446</v>
      </c>
      <c r="Y24" s="267">
        <f ca="1">(Y17+(Y17-Y18)*SP!Z33/SP!Z39)*CE!AB29/CE!AB27</f>
        <v>-1.7883069172771004</v>
      </c>
      <c r="Z24" s="267">
        <f ca="1">(Z17+(Z17-Z18)*SP!AA33/SP!AA39)*CE!AC29/CE!AC27</f>
        <v>-1.8229774681526738</v>
      </c>
      <c r="AA24" s="267">
        <f ca="1">(AA17+(AA17-AA18)*SP!AB33/SP!AB39)*CE!AD29/CE!AD27</f>
        <v>-1.8574240558471156</v>
      </c>
      <c r="AB24" s="267">
        <f ca="1">(AB17+(AB17-AB18)*SP!AC33/SP!AC39)*CE!AE29/CE!AE27</f>
        <v>-1.8330016963477063</v>
      </c>
      <c r="AC24" s="267">
        <f ca="1">(AC17+(AC17-AC18)*SP!AD33/SP!AD39)*CE!AF29/CE!AF27</f>
        <v>-1.8704651539885844</v>
      </c>
      <c r="AD24" s="267">
        <f ca="1">(AD17+(AD17-AD18)*SP!AE33/SP!AE39)*CE!AG29/CE!AG27</f>
        <v>-1.9067338830429204</v>
      </c>
      <c r="AE24" s="267">
        <f ca="1">(AE17+(AE17-AE18)*SP!AF33/SP!AF39)*CE!AH29/CE!AH27</f>
        <v>-1.9428939944423047</v>
      </c>
      <c r="AF24" s="267">
        <f ca="1">(AF17+(AF17-AF18)*SP!AG33/SP!AG39)*CE!AI29/CE!AI27</f>
        <v>-1.9789952720628956</v>
      </c>
    </row>
    <row r="25" spans="1:32">
      <c r="A25" s="308" t="s">
        <v>240</v>
      </c>
      <c r="B25" s="267">
        <f ca="1">CE!E29/CE!E23+CE!E23/SP!C16+SP!C16/SP!C39</f>
        <v>2.0620817390346824</v>
      </c>
      <c r="C25" s="267">
        <f ca="1">CE!F29/CE!F23+CE!F23/SP!D16+SP!D16/SP!D39</f>
        <v>-0.37251464247353638</v>
      </c>
      <c r="D25" s="267">
        <f ca="1">CE!G29/CE!G23+CE!G23/SP!E16+SP!E16/SP!E39</f>
        <v>-0.53026543051295993</v>
      </c>
      <c r="E25" s="267">
        <f ca="1">CE!H29/CE!H23+CE!H23/SP!F16+SP!F16/SP!F39</f>
        <v>-0.69125244276250397</v>
      </c>
      <c r="F25" s="267">
        <f ca="1">CE!I29/CE!I23+CE!I23/SP!G16+SP!G16/SP!G39</f>
        <v>-0.85660650758704582</v>
      </c>
      <c r="G25" s="267">
        <f ca="1">CE!J29/CE!J23+CE!J23/SP!H16+SP!H16/SP!H39</f>
        <v>-0.92311851021499058</v>
      </c>
      <c r="H25" s="267">
        <f ca="1">CE!K29/CE!K23+CE!K23/SP!I16+SP!I16/SP!I39</f>
        <v>-0.99545540351780137</v>
      </c>
      <c r="I25" s="267">
        <f ca="1">CE!L29/CE!L23+CE!L23/SP!J16+SP!J16/SP!J39</f>
        <v>-1.0630397589432425</v>
      </c>
      <c r="J25" s="267">
        <f ca="1">CE!M29/CE!M23+CE!M23/SP!K16+SP!K16/SP!K39</f>
        <v>-1.1274417220424391</v>
      </c>
      <c r="K25" s="267">
        <f ca="1">CE!N29/CE!N23+CE!N23/SP!L16+SP!L16/SP!L39</f>
        <v>-1.1886273855578915</v>
      </c>
      <c r="L25" s="267">
        <f ca="1">CE!O29/CE!O23+CE!O23/SP!M16+SP!M16/SP!M39</f>
        <v>-1.2470720902277042</v>
      </c>
      <c r="M25" s="267">
        <f ca="1">CE!P29/CE!P23+CE!P23/SP!N16+SP!N16/SP!N39</f>
        <v>-1.302037537476928</v>
      </c>
      <c r="N25" s="267">
        <f ca="1">CE!Q29/CE!Q23+CE!Q23/SP!O16+SP!O16/SP!O39</f>
        <v>-1.3548869237530454</v>
      </c>
      <c r="O25" s="267">
        <f ca="1">CE!R29/CE!R23+CE!R23/SP!P16+SP!P16/SP!P39</f>
        <v>-1.4070261546852461</v>
      </c>
      <c r="P25" s="267">
        <f ca="1">CE!S29/CE!S23+CE!S23/SP!Q16+SP!Q16/SP!Q39</f>
        <v>-1.457773354256978</v>
      </c>
      <c r="Q25" s="267">
        <f ca="1">CE!T29/CE!T23+CE!T23/SP!R16+SP!R16/SP!R39</f>
        <v>-1.507334053710867</v>
      </c>
      <c r="R25" s="267">
        <f ca="1">CE!U29/CE!U23+CE!U23/SP!S16+SP!S16/SP!S39</f>
        <v>-1.5546117946674505</v>
      </c>
      <c r="S25" s="267">
        <f ca="1">CE!V29/CE!V23+CE!V23/SP!T16+SP!T16/SP!T39</f>
        <v>-1.6009596059767397</v>
      </c>
      <c r="T25" s="267">
        <f ca="1">CE!W29/CE!W23+CE!W23/SP!U16+SP!U16/SP!U39</f>
        <v>-1.6477604479201757</v>
      </c>
      <c r="U25" s="267">
        <f ca="1">CE!X29/CE!X23+CE!X23/SP!V16+SP!V16/SP!V39</f>
        <v>-1.694017631554726</v>
      </c>
      <c r="V25" s="267">
        <f ca="1">CE!Y29/CE!Y23+CE!Y23/SP!W16+SP!W16/SP!W39</f>
        <v>-1.7399145715924611</v>
      </c>
      <c r="W25" s="267">
        <f ca="1">CE!Z29/CE!Z23+CE!Z23/SP!X16+SP!X16/SP!X39</f>
        <v>-1.7841162159094681</v>
      </c>
      <c r="X25" s="267">
        <f ca="1">CE!AA29/CE!AA23+CE!AA23/SP!Y16+SP!Y16/SP!Y39</f>
        <v>-1.8279309662059864</v>
      </c>
      <c r="Y25" s="267">
        <f ca="1">CE!AB29/CE!AB23+CE!AB23/SP!Z16+SP!Z16/SP!Z39</f>
        <v>-1.872821695305205</v>
      </c>
      <c r="Z25" s="267">
        <f ca="1">CE!AC29/CE!AC23+CE!AC23/SP!AA16+SP!AA16/SP!AA39</f>
        <v>-1.9176217317466926</v>
      </c>
      <c r="AA25" s="267">
        <f ca="1">CE!AD29/CE!AD23+CE!AD23/SP!AB16+SP!AB16/SP!AB39</f>
        <v>-1.9623912523625866</v>
      </c>
      <c r="AB25" s="267">
        <f ca="1">CE!AE29/CE!AE23+CE!AE23/SP!AC16+SP!AC16/SP!AC39</f>
        <v>-2.0057866348225644</v>
      </c>
      <c r="AC25" s="267">
        <f ca="1">CE!AF29/CE!AF23+CE!AF23/SP!AD16+SP!AD16/SP!AD39</f>
        <v>-2.0492263218707598</v>
      </c>
      <c r="AD25" s="267">
        <f ca="1">CE!AG29/CE!AG23+CE!AG23/SP!AE16+SP!AE16/SP!AE39</f>
        <v>-2.0941150571422296</v>
      </c>
      <c r="AE25" s="267">
        <f ca="1">CE!AH29/CE!AH23+CE!AH23/SP!AF16+SP!AF16/SP!AF39</f>
        <v>-2.1391887929768814</v>
      </c>
      <c r="AF25" s="267">
        <f ca="1">CE!AI29/CE!AI23+CE!AI23/SP!AG16+SP!AG16/SP!AG39</f>
        <v>-2.1844867861799653</v>
      </c>
    </row>
    <row r="26" spans="1:32">
      <c r="A26" s="308" t="s">
        <v>241</v>
      </c>
    </row>
    <row r="27" spans="1:32">
      <c r="A27" s="308" t="s">
        <v>242</v>
      </c>
    </row>
    <row r="28" spans="1:32">
      <c r="A28" s="308" t="s">
        <v>243</v>
      </c>
    </row>
    <row r="29" spans="1:32">
      <c r="A29" s="308"/>
    </row>
    <row r="30" spans="1:32" ht="16.5">
      <c r="A30" s="309" t="s">
        <v>244</v>
      </c>
    </row>
    <row r="31" spans="1:32">
      <c r="A31" s="308" t="s">
        <v>245</v>
      </c>
    </row>
    <row r="32" spans="1:32">
      <c r="A32" s="308" t="s">
        <v>246</v>
      </c>
    </row>
    <row r="33" spans="1:1">
      <c r="A33" s="308" t="s">
        <v>247</v>
      </c>
    </row>
    <row r="34" spans="1:1">
      <c r="A34" s="308" t="s">
        <v>248</v>
      </c>
    </row>
  </sheetData>
  <phoneticPr fontId="18" type="noConversion"/>
  <pageMargins left="0.75" right="0.75" top="1" bottom="1" header="0.5" footer="0.5"/>
  <pageSetup paperSize="9" orientation="portrait" horizontalDpi="0" verticalDpi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66A58-8438-6944-A90D-BB69F8D792CC}">
  <dimension ref="A1:DU9"/>
  <sheetViews>
    <sheetView workbookViewId="0">
      <selection activeCell="C8" sqref="C8"/>
    </sheetView>
  </sheetViews>
  <sheetFormatPr defaultColWidth="9.140625" defaultRowHeight="15"/>
  <cols>
    <col min="1" max="1" width="22.85546875" style="262" bestFit="1" customWidth="1"/>
    <col min="2" max="2" width="44.140625" style="262" bestFit="1" customWidth="1"/>
    <col min="3" max="16384" width="9.140625" style="262"/>
  </cols>
  <sheetData>
    <row r="1" spans="1:125" s="4" customFormat="1" ht="17.25" customHeight="1">
      <c r="A1" s="19"/>
      <c r="B1" s="276"/>
      <c r="C1" s="276" t="s">
        <v>144</v>
      </c>
      <c r="D1" s="276" t="s">
        <v>145</v>
      </c>
      <c r="E1" s="276" t="s">
        <v>146</v>
      </c>
      <c r="F1" s="276" t="s">
        <v>147</v>
      </c>
      <c r="G1" s="276" t="s">
        <v>148</v>
      </c>
      <c r="H1" s="276" t="s">
        <v>149</v>
      </c>
      <c r="I1" s="276" t="s">
        <v>150</v>
      </c>
      <c r="J1" s="276" t="s">
        <v>151</v>
      </c>
      <c r="K1" s="276" t="s">
        <v>152</v>
      </c>
      <c r="L1" s="276" t="s">
        <v>153</v>
      </c>
      <c r="M1" s="276" t="s">
        <v>154</v>
      </c>
      <c r="N1" s="276" t="s">
        <v>155</v>
      </c>
      <c r="O1" s="276" t="s">
        <v>156</v>
      </c>
      <c r="P1" s="276" t="s">
        <v>157</v>
      </c>
      <c r="Q1" s="276" t="s">
        <v>158</v>
      </c>
      <c r="R1" s="276" t="s">
        <v>159</v>
      </c>
      <c r="S1" s="276" t="s">
        <v>160</v>
      </c>
      <c r="T1" s="276" t="s">
        <v>161</v>
      </c>
      <c r="U1" s="276" t="s">
        <v>162</v>
      </c>
      <c r="V1" s="276" t="s">
        <v>163</v>
      </c>
      <c r="W1" s="276" t="s">
        <v>164</v>
      </c>
      <c r="X1" s="276" t="s">
        <v>165</v>
      </c>
      <c r="Y1" s="276" t="s">
        <v>166</v>
      </c>
      <c r="Z1" s="276" t="s">
        <v>167</v>
      </c>
      <c r="AA1" s="276" t="s">
        <v>168</v>
      </c>
      <c r="AB1" s="276" t="s">
        <v>169</v>
      </c>
      <c r="AC1" s="276" t="s">
        <v>170</v>
      </c>
      <c r="AD1" s="276" t="s">
        <v>171</v>
      </c>
      <c r="AE1" s="276" t="s">
        <v>172</v>
      </c>
      <c r="AF1" s="276" t="s">
        <v>173</v>
      </c>
      <c r="AG1" s="276" t="s">
        <v>174</v>
      </c>
      <c r="AH1" s="2"/>
      <c r="AI1" s="26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</row>
    <row r="3" spans="1:125" ht="30">
      <c r="A3" s="531" t="s">
        <v>133</v>
      </c>
      <c r="B3" s="263" t="s">
        <v>135</v>
      </c>
      <c r="C3" s="15">
        <f ca="1">SP!C22</f>
        <v>0</v>
      </c>
      <c r="D3" s="15">
        <f ca="1">SP!D22</f>
        <v>0</v>
      </c>
      <c r="E3" s="15">
        <f ca="1">SP!E22</f>
        <v>0</v>
      </c>
      <c r="F3" s="15">
        <f ca="1">SP!F22</f>
        <v>0</v>
      </c>
      <c r="G3" s="15">
        <f ca="1">SP!G22</f>
        <v>0</v>
      </c>
      <c r="H3" s="15">
        <f ca="1">SP!H22</f>
        <v>0</v>
      </c>
      <c r="I3" s="15">
        <f ca="1">SP!I22</f>
        <v>0</v>
      </c>
      <c r="J3" s="15">
        <f ca="1">SP!J22</f>
        <v>0</v>
      </c>
      <c r="K3" s="15">
        <f ca="1">SP!K22</f>
        <v>0</v>
      </c>
      <c r="L3" s="15">
        <f ca="1">SP!L22</f>
        <v>0</v>
      </c>
      <c r="M3" s="15">
        <f ca="1">SP!M22</f>
        <v>0</v>
      </c>
      <c r="N3" s="15">
        <f ca="1">SP!N22</f>
        <v>0</v>
      </c>
      <c r="O3" s="15">
        <f ca="1">SP!O22</f>
        <v>0</v>
      </c>
      <c r="P3" s="15">
        <f ca="1">SP!P22</f>
        <v>0</v>
      </c>
      <c r="Q3" s="15">
        <f ca="1">SP!Q22</f>
        <v>0</v>
      </c>
      <c r="R3" s="15">
        <f ca="1">SP!R22</f>
        <v>0</v>
      </c>
      <c r="S3" s="15">
        <f ca="1">SP!S22</f>
        <v>0</v>
      </c>
      <c r="T3" s="15">
        <f ca="1">SP!T22</f>
        <v>0</v>
      </c>
      <c r="U3" s="15">
        <f ca="1">SP!U22</f>
        <v>0</v>
      </c>
      <c r="V3" s="15">
        <f ca="1">SP!V22</f>
        <v>0</v>
      </c>
      <c r="W3" s="15">
        <f ca="1">SP!W22</f>
        <v>0</v>
      </c>
      <c r="X3" s="15">
        <f ca="1">SP!X22</f>
        <v>0</v>
      </c>
      <c r="Y3" s="15">
        <f ca="1">SP!Y22</f>
        <v>0</v>
      </c>
      <c r="Z3" s="15">
        <f ca="1">SP!Z22</f>
        <v>0</v>
      </c>
      <c r="AA3" s="15">
        <f ca="1">SP!AA22</f>
        <v>0</v>
      </c>
      <c r="AB3" s="15">
        <f ca="1">SP!AB22</f>
        <v>0</v>
      </c>
      <c r="AC3" s="15">
        <f ca="1">SP!AC22</f>
        <v>0</v>
      </c>
      <c r="AD3" s="15">
        <f ca="1">SP!AD22</f>
        <v>0</v>
      </c>
      <c r="AE3" s="15">
        <f ca="1">SP!AE22</f>
        <v>0</v>
      </c>
      <c r="AF3" s="15">
        <f ca="1">SP!AF22</f>
        <v>0</v>
      </c>
      <c r="AG3" s="15">
        <f ca="1">SP!AG22</f>
        <v>0</v>
      </c>
    </row>
    <row r="4" spans="1:125" ht="30">
      <c r="A4" s="532"/>
      <c r="B4" s="263" t="s">
        <v>136</v>
      </c>
      <c r="C4" s="15">
        <v>0</v>
      </c>
      <c r="D4" s="15">
        <v>0</v>
      </c>
      <c r="E4" s="15">
        <v>0</v>
      </c>
      <c r="F4" s="15">
        <v>0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0</v>
      </c>
      <c r="AC4" s="15">
        <v>0</v>
      </c>
      <c r="AD4" s="15">
        <v>0</v>
      </c>
      <c r="AE4" s="15">
        <v>0</v>
      </c>
      <c r="AF4" s="15">
        <v>0</v>
      </c>
      <c r="AG4" s="15">
        <v>0</v>
      </c>
    </row>
    <row r="5" spans="1:125" ht="30">
      <c r="A5" s="532"/>
      <c r="B5" s="263" t="s">
        <v>137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</row>
    <row r="6" spans="1:125" ht="36" customHeight="1">
      <c r="B6" s="263" t="s">
        <v>132</v>
      </c>
      <c r="C6" s="15">
        <f>SP!C28</f>
        <v>0</v>
      </c>
      <c r="D6" s="15">
        <f>SP!D28</f>
        <v>0</v>
      </c>
      <c r="E6" s="15">
        <f>SP!E28</f>
        <v>0</v>
      </c>
      <c r="F6" s="15">
        <f>SP!F28</f>
        <v>0</v>
      </c>
      <c r="G6" s="15">
        <f>SP!G28</f>
        <v>0</v>
      </c>
      <c r="H6" s="15">
        <f>SP!H28</f>
        <v>0</v>
      </c>
      <c r="I6" s="15">
        <f>SP!I28</f>
        <v>0</v>
      </c>
      <c r="J6" s="15">
        <f>SP!J28</f>
        <v>0</v>
      </c>
      <c r="K6" s="15">
        <f>SP!K28</f>
        <v>0</v>
      </c>
      <c r="L6" s="15">
        <f>SP!L28</f>
        <v>0</v>
      </c>
      <c r="M6" s="15">
        <f>SP!M28</f>
        <v>0</v>
      </c>
      <c r="N6" s="15">
        <f>SP!N28</f>
        <v>0</v>
      </c>
      <c r="O6" s="15">
        <f>SP!O28</f>
        <v>0</v>
      </c>
      <c r="P6" s="15">
        <f>SP!P28</f>
        <v>0</v>
      </c>
      <c r="Q6" s="15">
        <f>SP!Q28</f>
        <v>0</v>
      </c>
      <c r="R6" s="15">
        <f>SP!R28</f>
        <v>0</v>
      </c>
      <c r="S6" s="15">
        <f>SP!S28</f>
        <v>0</v>
      </c>
      <c r="T6" s="15">
        <f>SP!T28</f>
        <v>0</v>
      </c>
      <c r="U6" s="15">
        <f>SP!U28</f>
        <v>0</v>
      </c>
      <c r="V6" s="15">
        <f>SP!V28</f>
        <v>0</v>
      </c>
      <c r="W6" s="15">
        <f>SP!W28</f>
        <v>0</v>
      </c>
      <c r="X6" s="15">
        <f>SP!X28</f>
        <v>0</v>
      </c>
      <c r="Y6" s="15">
        <f>SP!Y28</f>
        <v>0</v>
      </c>
      <c r="Z6" s="15">
        <f>SP!Z28</f>
        <v>0</v>
      </c>
      <c r="AA6" s="15">
        <f>SP!AA28</f>
        <v>0</v>
      </c>
      <c r="AB6" s="15">
        <f>SP!AB28</f>
        <v>0</v>
      </c>
      <c r="AC6" s="15">
        <f>SP!AC28</f>
        <v>0</v>
      </c>
      <c r="AD6" s="15">
        <f>SP!AD28</f>
        <v>0</v>
      </c>
      <c r="AE6" s="15">
        <f>SP!AE28</f>
        <v>0</v>
      </c>
      <c r="AF6" s="15">
        <f>SP!AF28</f>
        <v>0</v>
      </c>
      <c r="AG6" s="15">
        <f>SP!AG28</f>
        <v>0</v>
      </c>
    </row>
    <row r="7" spans="1:125" ht="30">
      <c r="A7" s="531" t="s">
        <v>134</v>
      </c>
      <c r="B7" s="263" t="s">
        <v>138</v>
      </c>
      <c r="C7" s="15">
        <f ca="1">SP!C39</f>
        <v>196988.18159243811</v>
      </c>
      <c r="D7" s="15">
        <f ca="1">SP!D39</f>
        <v>469935.27020833699</v>
      </c>
      <c r="E7" s="15">
        <f ca="1">SP!E39</f>
        <v>494221.67225638265</v>
      </c>
      <c r="F7" s="15">
        <f ca="1">SP!F39</f>
        <v>520681.34767540288</v>
      </c>
      <c r="G7" s="15">
        <f ca="1">SP!G39</f>
        <v>549381.98412979674</v>
      </c>
      <c r="H7" s="15">
        <f ca="1">SP!H39</f>
        <v>598431.57307351602</v>
      </c>
      <c r="I7" s="15">
        <f ca="1">SP!I39</f>
        <v>649595.07319400168</v>
      </c>
      <c r="J7" s="15">
        <f ca="1">SP!J39</f>
        <v>702940.48485937179</v>
      </c>
      <c r="K7" s="15">
        <f ca="1">SP!K39</f>
        <v>758845.65899565758</v>
      </c>
      <c r="L7" s="15">
        <f ca="1">SP!L39</f>
        <v>817389.30942965555</v>
      </c>
      <c r="M7" s="15">
        <f ca="1">SP!M39</f>
        <v>878652.27828662994</v>
      </c>
      <c r="N7" s="15">
        <f ca="1">SP!N39</f>
        <v>942206.29608523508</v>
      </c>
      <c r="O7" s="15">
        <f ca="1">SP!O39</f>
        <v>1008125.146491165</v>
      </c>
      <c r="P7" s="15">
        <f ca="1">SP!P39</f>
        <v>1076995.9433532164</v>
      </c>
      <c r="Q7" s="15">
        <f ca="1">SP!Q39</f>
        <v>1148908.073358254</v>
      </c>
      <c r="R7" s="15">
        <f ca="1">SP!R39</f>
        <v>1223953.3228556612</v>
      </c>
      <c r="S7" s="15">
        <f ca="1">SP!S39</f>
        <v>1301552.1910219006</v>
      </c>
      <c r="T7" s="15">
        <f ca="1">SP!T39</f>
        <v>1381786.3215785434</v>
      </c>
      <c r="U7" s="15">
        <f ca="1">SP!U39</f>
        <v>1465413.3518592701</v>
      </c>
      <c r="V7" s="15">
        <f ca="1">SP!V39</f>
        <v>1552534.6005698489</v>
      </c>
      <c r="W7" s="15">
        <f ca="1">SP!W39</f>
        <v>1643300.6585083897</v>
      </c>
      <c r="X7" s="15">
        <f ca="1">SP!X39</f>
        <v>1737008.8301278814</v>
      </c>
      <c r="Y7" s="15">
        <f ca="1">SP!Y39</f>
        <v>1833705.8541217777</v>
      </c>
      <c r="Z7" s="15">
        <f ca="1">SP!Z39</f>
        <v>1934297.0836793839</v>
      </c>
      <c r="AA7" s="15">
        <f ca="1">SP!AA39</f>
        <v>2038897.3307783033</v>
      </c>
      <c r="AB7" s="15">
        <f ca="1">SP!AB39</f>
        <v>2147624.450465532</v>
      </c>
      <c r="AC7" s="15">
        <f ca="1">SP!AC39</f>
        <v>2259664.5281096348</v>
      </c>
      <c r="AD7" s="15">
        <f ca="1">SP!AD39</f>
        <v>2375120.7479363666</v>
      </c>
      <c r="AE7" s="15">
        <f ca="1">SP!AE39</f>
        <v>2495033.9893386671</v>
      </c>
      <c r="AF7" s="15">
        <f ca="1">SP!AF39</f>
        <v>2619534.107740168</v>
      </c>
      <c r="AG7" s="15">
        <f ca="1">SP!AG39</f>
        <v>2748754.3802946499</v>
      </c>
    </row>
    <row r="8" spans="1:125" ht="30">
      <c r="A8" s="532"/>
      <c r="B8" s="263" t="s">
        <v>139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</row>
    <row r="9" spans="1:125" ht="30">
      <c r="A9" s="532"/>
      <c r="B9" s="263" t="s">
        <v>140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</row>
  </sheetData>
  <mergeCells count="2">
    <mergeCell ref="A3:A5"/>
    <mergeCell ref="A7:A9"/>
  </mergeCells>
  <phoneticPr fontId="0" type="noConversion"/>
  <pageMargins left="0.75" right="0.75" top="1" bottom="1" header="0.5" footer="0.5"/>
  <pageSetup paperSize="9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95C53-2437-F247-8A0D-9C8F183298BB}">
  <sheetPr codeName="Foglio4">
    <pageSetUpPr fitToPage="1"/>
  </sheetPr>
  <dimension ref="A1:DU22"/>
  <sheetViews>
    <sheetView zoomScale="85" zoomScaleNormal="85" workbookViewId="0">
      <selection activeCell="F16" sqref="F16"/>
    </sheetView>
  </sheetViews>
  <sheetFormatPr defaultColWidth="9.140625" defaultRowHeight="14.25" outlineLevelCol="1"/>
  <cols>
    <col min="1" max="1" width="44.7109375" style="10" bestFit="1" customWidth="1"/>
    <col min="2" max="2" width="8.85546875" style="10" hidden="1" customWidth="1" outlineLevel="1"/>
    <col min="3" max="3" width="8.85546875" style="10" customWidth="1" collapsed="1"/>
    <col min="4" max="33" width="8.85546875" style="10" customWidth="1"/>
    <col min="34" max="16384" width="9.140625" style="10"/>
  </cols>
  <sheetData>
    <row r="1" spans="1:125" s="5" customFormat="1" ht="17.25" customHeight="1">
      <c r="A1" s="5" t="s">
        <v>117</v>
      </c>
      <c r="B1" s="276" t="s">
        <v>178</v>
      </c>
      <c r="C1" s="276" t="s">
        <v>144</v>
      </c>
      <c r="D1" s="276" t="s">
        <v>145</v>
      </c>
      <c r="E1" s="276" t="s">
        <v>146</v>
      </c>
      <c r="F1" s="276" t="s">
        <v>147</v>
      </c>
      <c r="G1" s="276" t="s">
        <v>148</v>
      </c>
      <c r="H1" s="276" t="s">
        <v>149</v>
      </c>
      <c r="I1" s="276" t="s">
        <v>150</v>
      </c>
      <c r="J1" s="276" t="s">
        <v>151</v>
      </c>
      <c r="K1" s="276" t="s">
        <v>152</v>
      </c>
      <c r="L1" s="276" t="s">
        <v>153</v>
      </c>
      <c r="M1" s="276" t="s">
        <v>154</v>
      </c>
      <c r="N1" s="276" t="s">
        <v>155</v>
      </c>
      <c r="O1" s="276" t="s">
        <v>156</v>
      </c>
      <c r="P1" s="276" t="s">
        <v>157</v>
      </c>
      <c r="Q1" s="276" t="s">
        <v>158</v>
      </c>
      <c r="R1" s="276" t="s">
        <v>159</v>
      </c>
      <c r="S1" s="276" t="s">
        <v>160</v>
      </c>
      <c r="T1" s="276" t="s">
        <v>161</v>
      </c>
      <c r="U1" s="276" t="s">
        <v>162</v>
      </c>
      <c r="V1" s="276" t="s">
        <v>163</v>
      </c>
      <c r="W1" s="276" t="s">
        <v>164</v>
      </c>
      <c r="X1" s="276" t="s">
        <v>165</v>
      </c>
      <c r="Y1" s="276" t="s">
        <v>166</v>
      </c>
      <c r="Z1" s="276" t="s">
        <v>167</v>
      </c>
      <c r="AA1" s="276" t="s">
        <v>168</v>
      </c>
      <c r="AB1" s="276" t="s">
        <v>169</v>
      </c>
      <c r="AC1" s="276" t="s">
        <v>170</v>
      </c>
      <c r="AD1" s="276" t="s">
        <v>171</v>
      </c>
      <c r="AE1" s="276" t="s">
        <v>172</v>
      </c>
      <c r="AF1" s="276" t="s">
        <v>173</v>
      </c>
      <c r="AG1" s="276" t="s">
        <v>174</v>
      </c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</row>
    <row r="2" spans="1:125" s="7" customFormat="1" ht="6" customHeight="1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</row>
    <row r="3" spans="1:125" s="2" customFormat="1" ht="18" customHeight="1">
      <c r="A3" s="199" t="s">
        <v>88</v>
      </c>
      <c r="B3" s="235">
        <f t="shared" ref="B3:AG3" si="0">SUM(B4:B8)+B10</f>
        <v>0</v>
      </c>
      <c r="C3" s="235">
        <f t="shared" si="0"/>
        <v>0</v>
      </c>
      <c r="D3" s="235">
        <f t="shared" si="0"/>
        <v>0</v>
      </c>
      <c r="E3" s="235">
        <f t="shared" si="0"/>
        <v>0</v>
      </c>
      <c r="F3" s="235">
        <f t="shared" si="0"/>
        <v>0</v>
      </c>
      <c r="G3" s="235">
        <f t="shared" si="0"/>
        <v>0</v>
      </c>
      <c r="H3" s="235">
        <f t="shared" si="0"/>
        <v>0</v>
      </c>
      <c r="I3" s="235">
        <f t="shared" si="0"/>
        <v>0</v>
      </c>
      <c r="J3" s="235">
        <f t="shared" si="0"/>
        <v>0</v>
      </c>
      <c r="K3" s="235">
        <f t="shared" si="0"/>
        <v>0</v>
      </c>
      <c r="L3" s="235">
        <f t="shared" si="0"/>
        <v>0</v>
      </c>
      <c r="M3" s="235">
        <f t="shared" si="0"/>
        <v>0</v>
      </c>
      <c r="N3" s="235">
        <f t="shared" si="0"/>
        <v>0</v>
      </c>
      <c r="O3" s="235">
        <f t="shared" si="0"/>
        <v>0</v>
      </c>
      <c r="P3" s="235">
        <f t="shared" si="0"/>
        <v>0</v>
      </c>
      <c r="Q3" s="235">
        <f t="shared" si="0"/>
        <v>0</v>
      </c>
      <c r="R3" s="235">
        <f t="shared" si="0"/>
        <v>0</v>
      </c>
      <c r="S3" s="235">
        <f t="shared" si="0"/>
        <v>0</v>
      </c>
      <c r="T3" s="235">
        <f t="shared" si="0"/>
        <v>0</v>
      </c>
      <c r="U3" s="235">
        <f t="shared" si="0"/>
        <v>0</v>
      </c>
      <c r="V3" s="235">
        <f t="shared" si="0"/>
        <v>0</v>
      </c>
      <c r="W3" s="235">
        <f t="shared" si="0"/>
        <v>0</v>
      </c>
      <c r="X3" s="235">
        <f t="shared" si="0"/>
        <v>0</v>
      </c>
      <c r="Y3" s="235">
        <f t="shared" si="0"/>
        <v>0</v>
      </c>
      <c r="Z3" s="235">
        <f t="shared" si="0"/>
        <v>0</v>
      </c>
      <c r="AA3" s="235">
        <f t="shared" si="0"/>
        <v>0</v>
      </c>
      <c r="AB3" s="235">
        <f t="shared" si="0"/>
        <v>0</v>
      </c>
      <c r="AC3" s="235">
        <f t="shared" si="0"/>
        <v>0</v>
      </c>
      <c r="AD3" s="235">
        <f t="shared" si="0"/>
        <v>0</v>
      </c>
      <c r="AE3" s="235">
        <f t="shared" si="0"/>
        <v>0</v>
      </c>
      <c r="AF3" s="235">
        <f t="shared" si="0"/>
        <v>0</v>
      </c>
      <c r="AG3" s="236">
        <f t="shared" si="0"/>
        <v>0</v>
      </c>
    </row>
    <row r="4" spans="1:125" ht="18" customHeight="1">
      <c r="A4" s="8" t="s">
        <v>276</v>
      </c>
      <c r="B4" s="15">
        <f>-CE!D10*Ipotesi!$C51</f>
        <v>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</row>
    <row r="5" spans="1:125" ht="18" customHeight="1">
      <c r="A5" s="8" t="s">
        <v>272</v>
      </c>
      <c r="B5" s="15">
        <f>-CE!D11*Ipotesi!$C52</f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125" ht="18" customHeight="1">
      <c r="A6" s="8" t="s">
        <v>274</v>
      </c>
      <c r="B6" s="15">
        <f>-CE!D13*Ipotesi!$C54</f>
        <v>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125" ht="18" customHeight="1">
      <c r="A7" s="8" t="s">
        <v>277</v>
      </c>
      <c r="B7" s="15">
        <f>-CE!D14*Ipotesi!$C55</f>
        <v>0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1:125" ht="18" customHeight="1">
      <c r="A8" s="8" t="s">
        <v>54</v>
      </c>
      <c r="B8" s="15">
        <f>-CE!D16*Ipotesi!$C56</f>
        <v>0</v>
      </c>
      <c r="C8" s="15">
        <f>-CE!E16*Ipotesi!$C56</f>
        <v>0</v>
      </c>
      <c r="D8" s="15">
        <f>-CE!F16*Ipotesi!$C56</f>
        <v>0</v>
      </c>
      <c r="E8" s="15">
        <f>-CE!G16*Ipotesi!$C56</f>
        <v>0</v>
      </c>
      <c r="F8" s="15">
        <f>-CE!H16*Ipotesi!$C56</f>
        <v>0</v>
      </c>
      <c r="G8" s="15">
        <f>-CE!I16*Ipotesi!$C56</f>
        <v>0</v>
      </c>
      <c r="H8" s="15">
        <f>-CE!J16*Ipotesi!$C56</f>
        <v>0</v>
      </c>
      <c r="I8" s="15">
        <f>-CE!K16*Ipotesi!$C56</f>
        <v>0</v>
      </c>
      <c r="J8" s="15">
        <f>-CE!L16*Ipotesi!$C56</f>
        <v>0</v>
      </c>
      <c r="K8" s="15">
        <f>-CE!M16*Ipotesi!$C56</f>
        <v>0</v>
      </c>
      <c r="L8" s="15">
        <f>-CE!N16*Ipotesi!$C56</f>
        <v>0</v>
      </c>
      <c r="M8" s="15">
        <f>-CE!O16*Ipotesi!$C56</f>
        <v>0</v>
      </c>
      <c r="N8" s="15">
        <f>-CE!P16*Ipotesi!$C56</f>
        <v>0</v>
      </c>
      <c r="O8" s="15">
        <f>-CE!Q16*Ipotesi!$C56</f>
        <v>0</v>
      </c>
      <c r="P8" s="15">
        <f>-CE!R16*Ipotesi!$C56</f>
        <v>0</v>
      </c>
      <c r="Q8" s="15">
        <f>-CE!S16*Ipotesi!$C56</f>
        <v>0</v>
      </c>
      <c r="R8" s="15">
        <f>-CE!T16*Ipotesi!$C56</f>
        <v>0</v>
      </c>
      <c r="S8" s="15">
        <f>-CE!U16*Ipotesi!$C56</f>
        <v>0</v>
      </c>
      <c r="T8" s="15">
        <f>-CE!V16*Ipotesi!$C56</f>
        <v>0</v>
      </c>
      <c r="U8" s="15">
        <f>-CE!W16*Ipotesi!$C56</f>
        <v>0</v>
      </c>
      <c r="V8" s="15">
        <f>-CE!X16*Ipotesi!$C56</f>
        <v>0</v>
      </c>
      <c r="W8" s="15">
        <f>-CE!Y16*Ipotesi!$C56</f>
        <v>0</v>
      </c>
      <c r="X8" s="15">
        <f>-CE!Z16*Ipotesi!$C56</f>
        <v>0</v>
      </c>
      <c r="Y8" s="15">
        <f>-CE!AA16*Ipotesi!$C56</f>
        <v>0</v>
      </c>
      <c r="Z8" s="15">
        <f>-CE!AB16*Ipotesi!$C56</f>
        <v>0</v>
      </c>
      <c r="AA8" s="15">
        <f>-CE!AC16*Ipotesi!$C56</f>
        <v>0</v>
      </c>
      <c r="AB8" s="15">
        <f>-CE!AD16*Ipotesi!$C56</f>
        <v>0</v>
      </c>
      <c r="AC8" s="15">
        <f>-CE!AE16*Ipotesi!$C56</f>
        <v>0</v>
      </c>
      <c r="AD8" s="15">
        <f>-CE!AF16*Ipotesi!$C56</f>
        <v>0</v>
      </c>
      <c r="AE8" s="15">
        <f>-CE!AG16*Ipotesi!$C56</f>
        <v>0</v>
      </c>
      <c r="AF8" s="15">
        <f>-CE!AH16*Ipotesi!$C56</f>
        <v>0</v>
      </c>
      <c r="AG8" s="15">
        <f>-CE!AI16*Ipotesi!$C56</f>
        <v>0</v>
      </c>
    </row>
    <row r="9" spans="1:125" ht="6.75" customHeight="1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</row>
    <row r="10" spans="1:125" ht="18" customHeight="1">
      <c r="A10" s="10" t="s">
        <v>46</v>
      </c>
      <c r="B10" s="15"/>
      <c r="C10" s="15">
        <f>'Imm.  Mat.'!E362*Ipotesi!$C58</f>
        <v>0</v>
      </c>
      <c r="D10" s="15">
        <f>'Imm.  Mat.'!F362*Ipotesi!$C58</f>
        <v>0</v>
      </c>
      <c r="E10" s="15">
        <f>'Imm.  Mat.'!G362*Ipotesi!$C58</f>
        <v>0</v>
      </c>
      <c r="F10" s="15">
        <f>'Imm.  Mat.'!H362*Ipotesi!$C58</f>
        <v>0</v>
      </c>
      <c r="G10" s="15">
        <f>'Imm.  Mat.'!I362*Ipotesi!$C58</f>
        <v>0</v>
      </c>
      <c r="H10" s="15">
        <f>'Imm.  Mat.'!J362*Ipotesi!$C58</f>
        <v>0</v>
      </c>
      <c r="I10" s="15">
        <f>'Imm.  Mat.'!K362*Ipotesi!$C58</f>
        <v>0</v>
      </c>
      <c r="J10" s="15">
        <f>'Imm.  Mat.'!L362*Ipotesi!$C58</f>
        <v>0</v>
      </c>
      <c r="K10" s="15">
        <f>'Imm.  Mat.'!M362*Ipotesi!$C58</f>
        <v>0</v>
      </c>
      <c r="L10" s="15">
        <f>'Imm.  Mat.'!N362*Ipotesi!$C58</f>
        <v>0</v>
      </c>
      <c r="M10" s="15">
        <f>'Imm.  Mat.'!O362*Ipotesi!$C58</f>
        <v>0</v>
      </c>
      <c r="N10" s="15">
        <f>'Imm.  Mat.'!P362*Ipotesi!$C58</f>
        <v>0</v>
      </c>
      <c r="O10" s="15">
        <f>'Imm.  Mat.'!Q362*Ipotesi!$C58</f>
        <v>0</v>
      </c>
      <c r="P10" s="15">
        <f>'Imm.  Mat.'!R362*Ipotesi!$C58</f>
        <v>0</v>
      </c>
      <c r="Q10" s="15">
        <f>'Imm.  Mat.'!S362*Ipotesi!$C58</f>
        <v>0</v>
      </c>
      <c r="R10" s="15">
        <f>'Imm.  Mat.'!T362*Ipotesi!$C58</f>
        <v>0</v>
      </c>
      <c r="S10" s="15">
        <f>'Imm.  Mat.'!U362*Ipotesi!$C58</f>
        <v>0</v>
      </c>
      <c r="T10" s="15">
        <f>'Imm.  Mat.'!V362*Ipotesi!$C58</f>
        <v>0</v>
      </c>
      <c r="U10" s="15">
        <f>'Imm.  Mat.'!W362*Ipotesi!$C58</f>
        <v>0</v>
      </c>
      <c r="V10" s="15">
        <f>'Imm.  Mat.'!X362*Ipotesi!$C58</f>
        <v>0</v>
      </c>
      <c r="W10" s="15">
        <f>'Imm.  Mat.'!Y362*Ipotesi!$C58</f>
        <v>0</v>
      </c>
      <c r="X10" s="15">
        <f>'Imm.  Mat.'!Z362*Ipotesi!$C58</f>
        <v>0</v>
      </c>
      <c r="Y10" s="15">
        <f>'Imm.  Mat.'!AA362*Ipotesi!$C58</f>
        <v>0</v>
      </c>
      <c r="Z10" s="15">
        <f>'Imm.  Mat.'!AB362*Ipotesi!$C58</f>
        <v>0</v>
      </c>
      <c r="AA10" s="15">
        <f>'Imm.  Mat.'!AC362*Ipotesi!$C58</f>
        <v>0</v>
      </c>
      <c r="AB10" s="15">
        <f>'Imm.  Mat.'!AD362*Ipotesi!$C58</f>
        <v>0</v>
      </c>
      <c r="AC10" s="15">
        <f>'Imm.  Mat.'!AE362*Ipotesi!$C58</f>
        <v>0</v>
      </c>
      <c r="AD10" s="15">
        <f>'Imm.  Mat.'!AF362*Ipotesi!$C58</f>
        <v>0</v>
      </c>
      <c r="AE10" s="15">
        <f>'Imm.  Mat.'!AG362*Ipotesi!$C58</f>
        <v>0</v>
      </c>
      <c r="AF10" s="15">
        <f>'Imm.  Mat.'!AH362*Ipotesi!$C58</f>
        <v>0</v>
      </c>
      <c r="AG10" s="15">
        <f>'Imm.  Mat.'!AI362*Ipotesi!$C58</f>
        <v>0</v>
      </c>
    </row>
    <row r="11" spans="1:125" ht="6.75" customHeight="1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125" s="2" customFormat="1" ht="18" customHeight="1">
      <c r="A12" s="199" t="s">
        <v>89</v>
      </c>
      <c r="B12" s="235">
        <f>SUM(B13)</f>
        <v>0</v>
      </c>
      <c r="C12" s="235">
        <f t="shared" ref="C12:AG12" si="1">SUM(C13)</f>
        <v>-12000</v>
      </c>
      <c r="D12" s="235">
        <f t="shared" si="1"/>
        <v>0</v>
      </c>
      <c r="E12" s="235">
        <f t="shared" si="1"/>
        <v>0</v>
      </c>
      <c r="F12" s="235">
        <f t="shared" si="1"/>
        <v>0</v>
      </c>
      <c r="G12" s="235">
        <f t="shared" si="1"/>
        <v>0</v>
      </c>
      <c r="H12" s="235">
        <f t="shared" si="1"/>
        <v>0</v>
      </c>
      <c r="I12" s="235">
        <f t="shared" si="1"/>
        <v>0</v>
      </c>
      <c r="J12" s="235">
        <f t="shared" si="1"/>
        <v>0</v>
      </c>
      <c r="K12" s="235">
        <f t="shared" si="1"/>
        <v>0</v>
      </c>
      <c r="L12" s="235">
        <f t="shared" si="1"/>
        <v>0</v>
      </c>
      <c r="M12" s="235">
        <f t="shared" si="1"/>
        <v>0</v>
      </c>
      <c r="N12" s="235">
        <f t="shared" si="1"/>
        <v>0</v>
      </c>
      <c r="O12" s="235">
        <f t="shared" si="1"/>
        <v>0</v>
      </c>
      <c r="P12" s="235">
        <f t="shared" si="1"/>
        <v>0</v>
      </c>
      <c r="Q12" s="235">
        <f t="shared" si="1"/>
        <v>0</v>
      </c>
      <c r="R12" s="235">
        <f t="shared" si="1"/>
        <v>0</v>
      </c>
      <c r="S12" s="235">
        <f t="shared" si="1"/>
        <v>0</v>
      </c>
      <c r="T12" s="235">
        <f t="shared" si="1"/>
        <v>0</v>
      </c>
      <c r="U12" s="235">
        <f t="shared" si="1"/>
        <v>0</v>
      </c>
      <c r="V12" s="235">
        <f t="shared" si="1"/>
        <v>0</v>
      </c>
      <c r="W12" s="235">
        <f t="shared" si="1"/>
        <v>0</v>
      </c>
      <c r="X12" s="235">
        <f t="shared" si="1"/>
        <v>0</v>
      </c>
      <c r="Y12" s="235">
        <f t="shared" si="1"/>
        <v>0</v>
      </c>
      <c r="Z12" s="235">
        <f t="shared" si="1"/>
        <v>0</v>
      </c>
      <c r="AA12" s="235">
        <f t="shared" si="1"/>
        <v>0</v>
      </c>
      <c r="AB12" s="235">
        <f t="shared" si="1"/>
        <v>0</v>
      </c>
      <c r="AC12" s="235">
        <f t="shared" si="1"/>
        <v>0</v>
      </c>
      <c r="AD12" s="235">
        <f t="shared" si="1"/>
        <v>0</v>
      </c>
      <c r="AE12" s="235">
        <f t="shared" si="1"/>
        <v>0</v>
      </c>
      <c r="AF12" s="235">
        <f t="shared" si="1"/>
        <v>0</v>
      </c>
      <c r="AG12" s="236">
        <f t="shared" si="1"/>
        <v>0</v>
      </c>
    </row>
    <row r="13" spans="1:125" ht="18" customHeight="1">
      <c r="A13" s="10" t="s">
        <v>45</v>
      </c>
      <c r="B13" s="15">
        <f>-CE!D5*Ipotesi!$C$60</f>
        <v>0</v>
      </c>
      <c r="C13" s="15">
        <f>-CE!E5*Ipotesi!$C$60</f>
        <v>-12000</v>
      </c>
      <c r="D13" s="15">
        <f>-CE!F5*Ipotesi!$C$60</f>
        <v>0</v>
      </c>
      <c r="E13" s="15">
        <f>-CE!G5*Ipotesi!$C$60</f>
        <v>0</v>
      </c>
      <c r="F13" s="15">
        <f>-CE!H5*Ipotesi!$C$60</f>
        <v>0</v>
      </c>
      <c r="G13" s="15">
        <f>-CE!I5*Ipotesi!$C$60</f>
        <v>0</v>
      </c>
      <c r="H13" s="15">
        <f>-CE!J5*Ipotesi!$C$60</f>
        <v>0</v>
      </c>
      <c r="I13" s="15">
        <f>-CE!K5*Ipotesi!$C$60</f>
        <v>0</v>
      </c>
      <c r="J13" s="15">
        <f>-CE!L5*Ipotesi!$C$60</f>
        <v>0</v>
      </c>
      <c r="K13" s="15">
        <f>-CE!M5*Ipotesi!$C$60</f>
        <v>0</v>
      </c>
      <c r="L13" s="15">
        <f>-CE!N5*Ipotesi!$C$60</f>
        <v>0</v>
      </c>
      <c r="M13" s="15">
        <f>-CE!O5*Ipotesi!$C$60</f>
        <v>0</v>
      </c>
      <c r="N13" s="15">
        <f>-CE!P5*Ipotesi!$C$60</f>
        <v>0</v>
      </c>
      <c r="O13" s="15">
        <f>-CE!Q5*Ipotesi!$C$60</f>
        <v>0</v>
      </c>
      <c r="P13" s="15">
        <f>-CE!R5*Ipotesi!$C$60</f>
        <v>0</v>
      </c>
      <c r="Q13" s="15">
        <f>-CE!S5*Ipotesi!$C$60</f>
        <v>0</v>
      </c>
      <c r="R13" s="15">
        <f>-CE!T5*Ipotesi!$C$60</f>
        <v>0</v>
      </c>
      <c r="S13" s="15">
        <f>-CE!U5*Ipotesi!$C$60</f>
        <v>0</v>
      </c>
      <c r="T13" s="15">
        <f>-CE!V5*Ipotesi!$C$60</f>
        <v>0</v>
      </c>
      <c r="U13" s="15">
        <f>-CE!W5*Ipotesi!$C$60</f>
        <v>0</v>
      </c>
      <c r="V13" s="15">
        <f>-CE!X5*Ipotesi!$C$60</f>
        <v>0</v>
      </c>
      <c r="W13" s="15">
        <f>-CE!Y5*Ipotesi!$C$60</f>
        <v>0</v>
      </c>
      <c r="X13" s="15">
        <f>-CE!Z5*Ipotesi!$C$60</f>
        <v>0</v>
      </c>
      <c r="Y13" s="15">
        <f>-CE!AA5*Ipotesi!$C$60</f>
        <v>0</v>
      </c>
      <c r="Z13" s="15">
        <f>-CE!AB5*Ipotesi!$C$60</f>
        <v>0</v>
      </c>
      <c r="AA13" s="15">
        <f>-CE!AC5*Ipotesi!$C$60</f>
        <v>0</v>
      </c>
      <c r="AB13" s="15">
        <f>-CE!AD5*Ipotesi!$C$60</f>
        <v>0</v>
      </c>
      <c r="AC13" s="15">
        <f>-CE!AE5*Ipotesi!$C$60</f>
        <v>0</v>
      </c>
      <c r="AD13" s="15">
        <f>-CE!AF5*Ipotesi!$C$60</f>
        <v>0</v>
      </c>
      <c r="AE13" s="15">
        <f>-CE!AG5*Ipotesi!$C$60</f>
        <v>0</v>
      </c>
      <c r="AF13" s="15">
        <f>-CE!AH5*Ipotesi!$C$60</f>
        <v>0</v>
      </c>
      <c r="AG13" s="15">
        <f>-CE!AI5*Ipotesi!$C$60</f>
        <v>0</v>
      </c>
    </row>
    <row r="14" spans="1:125" ht="6.75" customHeight="1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125" ht="18" customHeight="1">
      <c r="A15" s="10" t="s">
        <v>90</v>
      </c>
      <c r="B15" s="15">
        <f t="shared" ref="B15:AG15" si="2">B3+B12</f>
        <v>0</v>
      </c>
      <c r="C15" s="15">
        <f t="shared" si="2"/>
        <v>-12000</v>
      </c>
      <c r="D15" s="15">
        <f t="shared" si="2"/>
        <v>0</v>
      </c>
      <c r="E15" s="15">
        <f t="shared" si="2"/>
        <v>0</v>
      </c>
      <c r="F15" s="15">
        <f t="shared" si="2"/>
        <v>0</v>
      </c>
      <c r="G15" s="15">
        <f t="shared" si="2"/>
        <v>0</v>
      </c>
      <c r="H15" s="15">
        <f t="shared" si="2"/>
        <v>0</v>
      </c>
      <c r="I15" s="15">
        <f t="shared" si="2"/>
        <v>0</v>
      </c>
      <c r="J15" s="15">
        <f t="shared" si="2"/>
        <v>0</v>
      </c>
      <c r="K15" s="15">
        <f t="shared" si="2"/>
        <v>0</v>
      </c>
      <c r="L15" s="15">
        <f t="shared" si="2"/>
        <v>0</v>
      </c>
      <c r="M15" s="15">
        <f t="shared" si="2"/>
        <v>0</v>
      </c>
      <c r="N15" s="15">
        <f t="shared" si="2"/>
        <v>0</v>
      </c>
      <c r="O15" s="15">
        <f t="shared" si="2"/>
        <v>0</v>
      </c>
      <c r="P15" s="15">
        <f t="shared" si="2"/>
        <v>0</v>
      </c>
      <c r="Q15" s="15">
        <f t="shared" si="2"/>
        <v>0</v>
      </c>
      <c r="R15" s="15">
        <f t="shared" si="2"/>
        <v>0</v>
      </c>
      <c r="S15" s="15">
        <f t="shared" si="2"/>
        <v>0</v>
      </c>
      <c r="T15" s="15">
        <f t="shared" si="2"/>
        <v>0</v>
      </c>
      <c r="U15" s="15">
        <f t="shared" si="2"/>
        <v>0</v>
      </c>
      <c r="V15" s="15">
        <f t="shared" si="2"/>
        <v>0</v>
      </c>
      <c r="W15" s="15">
        <f t="shared" si="2"/>
        <v>0</v>
      </c>
      <c r="X15" s="15">
        <f t="shared" si="2"/>
        <v>0</v>
      </c>
      <c r="Y15" s="15">
        <f t="shared" si="2"/>
        <v>0</v>
      </c>
      <c r="Z15" s="15">
        <f t="shared" si="2"/>
        <v>0</v>
      </c>
      <c r="AA15" s="15">
        <f t="shared" si="2"/>
        <v>0</v>
      </c>
      <c r="AB15" s="15">
        <f t="shared" si="2"/>
        <v>0</v>
      </c>
      <c r="AC15" s="15">
        <f t="shared" si="2"/>
        <v>0</v>
      </c>
      <c r="AD15" s="15">
        <f t="shared" si="2"/>
        <v>0</v>
      </c>
      <c r="AE15" s="15">
        <f t="shared" si="2"/>
        <v>0</v>
      </c>
      <c r="AF15" s="15">
        <f t="shared" si="2"/>
        <v>0</v>
      </c>
      <c r="AG15" s="15">
        <f t="shared" si="2"/>
        <v>0</v>
      </c>
    </row>
    <row r="16" spans="1:125" ht="18" customHeight="1">
      <c r="A16" s="10" t="s">
        <v>91</v>
      </c>
      <c r="B16" s="15"/>
      <c r="C16" s="15">
        <f>B19</f>
        <v>0</v>
      </c>
      <c r="D16" s="15">
        <f>C19</f>
        <v>0</v>
      </c>
      <c r="E16" s="15">
        <f>D19</f>
        <v>0</v>
      </c>
      <c r="F16" s="15">
        <f>E19</f>
        <v>0</v>
      </c>
      <c r="G16" s="15">
        <f>F19</f>
        <v>0</v>
      </c>
      <c r="H16" s="15">
        <f t="shared" ref="H16:P16" si="3">G19</f>
        <v>0</v>
      </c>
      <c r="I16" s="15">
        <f t="shared" si="3"/>
        <v>0</v>
      </c>
      <c r="J16" s="15">
        <f t="shared" si="3"/>
        <v>0</v>
      </c>
      <c r="K16" s="15">
        <f t="shared" si="3"/>
        <v>0</v>
      </c>
      <c r="L16" s="15">
        <f t="shared" si="3"/>
        <v>0</v>
      </c>
      <c r="M16" s="15">
        <f t="shared" si="3"/>
        <v>0</v>
      </c>
      <c r="N16" s="15">
        <f t="shared" si="3"/>
        <v>0</v>
      </c>
      <c r="O16" s="15">
        <f t="shared" si="3"/>
        <v>0</v>
      </c>
      <c r="P16" s="15">
        <f t="shared" si="3"/>
        <v>0</v>
      </c>
      <c r="Q16" s="15">
        <f t="shared" ref="Q16:AG16" si="4">P19</f>
        <v>0</v>
      </c>
      <c r="R16" s="15">
        <f t="shared" si="4"/>
        <v>0</v>
      </c>
      <c r="S16" s="15">
        <f t="shared" si="4"/>
        <v>0</v>
      </c>
      <c r="T16" s="15">
        <f t="shared" si="4"/>
        <v>0</v>
      </c>
      <c r="U16" s="15">
        <f t="shared" si="4"/>
        <v>0</v>
      </c>
      <c r="V16" s="15">
        <f t="shared" si="4"/>
        <v>0</v>
      </c>
      <c r="W16" s="15">
        <f t="shared" si="4"/>
        <v>0</v>
      </c>
      <c r="X16" s="15">
        <f t="shared" si="4"/>
        <v>0</v>
      </c>
      <c r="Y16" s="15">
        <f t="shared" si="4"/>
        <v>0</v>
      </c>
      <c r="Z16" s="15">
        <f t="shared" si="4"/>
        <v>0</v>
      </c>
      <c r="AA16" s="15">
        <f t="shared" si="4"/>
        <v>0</v>
      </c>
      <c r="AB16" s="15">
        <f t="shared" si="4"/>
        <v>0</v>
      </c>
      <c r="AC16" s="15">
        <f t="shared" si="4"/>
        <v>0</v>
      </c>
      <c r="AD16" s="15">
        <f t="shared" si="4"/>
        <v>0</v>
      </c>
      <c r="AE16" s="15">
        <f t="shared" si="4"/>
        <v>0</v>
      </c>
      <c r="AF16" s="15">
        <f t="shared" si="4"/>
        <v>0</v>
      </c>
      <c r="AG16" s="15">
        <f t="shared" si="4"/>
        <v>0</v>
      </c>
    </row>
    <row r="17" spans="1:33" ht="18" customHeight="1">
      <c r="A17" s="10" t="s">
        <v>73</v>
      </c>
      <c r="B17" s="15">
        <f t="shared" ref="B17:H17" si="5">IF(B15&lt;0,IF(B16&gt;0,IF(-B15&gt;B16,B15+B16,0),B15),0)</f>
        <v>0</v>
      </c>
      <c r="C17" s="15">
        <f t="shared" si="5"/>
        <v>-12000</v>
      </c>
      <c r="D17" s="15">
        <f t="shared" si="5"/>
        <v>0</v>
      </c>
      <c r="E17" s="15">
        <f t="shared" si="5"/>
        <v>0</v>
      </c>
      <c r="F17" s="15">
        <f t="shared" si="5"/>
        <v>0</v>
      </c>
      <c r="G17" s="15">
        <f t="shared" si="5"/>
        <v>0</v>
      </c>
      <c r="H17" s="15">
        <f t="shared" si="5"/>
        <v>0</v>
      </c>
      <c r="I17" s="15">
        <f t="shared" ref="I17:AG17" si="6">IF(I15&lt;0,IF(I16&gt;0,IF(-I15&gt;I16,I15+I16,0),I15),0)</f>
        <v>0</v>
      </c>
      <c r="J17" s="15">
        <f t="shared" si="6"/>
        <v>0</v>
      </c>
      <c r="K17" s="15">
        <f t="shared" si="6"/>
        <v>0</v>
      </c>
      <c r="L17" s="15">
        <f t="shared" si="6"/>
        <v>0</v>
      </c>
      <c r="M17" s="15">
        <f t="shared" si="6"/>
        <v>0</v>
      </c>
      <c r="N17" s="15">
        <f t="shared" si="6"/>
        <v>0</v>
      </c>
      <c r="O17" s="15">
        <f t="shared" si="6"/>
        <v>0</v>
      </c>
      <c r="P17" s="15">
        <f t="shared" si="6"/>
        <v>0</v>
      </c>
      <c r="Q17" s="15">
        <f t="shared" si="6"/>
        <v>0</v>
      </c>
      <c r="R17" s="15">
        <f t="shared" si="6"/>
        <v>0</v>
      </c>
      <c r="S17" s="15">
        <f t="shared" si="6"/>
        <v>0</v>
      </c>
      <c r="T17" s="15">
        <f t="shared" si="6"/>
        <v>0</v>
      </c>
      <c r="U17" s="15">
        <f t="shared" si="6"/>
        <v>0</v>
      </c>
      <c r="V17" s="15">
        <f t="shared" si="6"/>
        <v>0</v>
      </c>
      <c r="W17" s="15">
        <f t="shared" si="6"/>
        <v>0</v>
      </c>
      <c r="X17" s="15">
        <f t="shared" si="6"/>
        <v>0</v>
      </c>
      <c r="Y17" s="15">
        <f t="shared" si="6"/>
        <v>0</v>
      </c>
      <c r="Z17" s="15">
        <f t="shared" si="6"/>
        <v>0</v>
      </c>
      <c r="AA17" s="15">
        <f t="shared" si="6"/>
        <v>0</v>
      </c>
      <c r="AB17" s="15">
        <f t="shared" si="6"/>
        <v>0</v>
      </c>
      <c r="AC17" s="15">
        <f t="shared" si="6"/>
        <v>0</v>
      </c>
      <c r="AD17" s="15">
        <f t="shared" si="6"/>
        <v>0</v>
      </c>
      <c r="AE17" s="15">
        <f t="shared" si="6"/>
        <v>0</v>
      </c>
      <c r="AF17" s="15">
        <f t="shared" si="6"/>
        <v>0</v>
      </c>
      <c r="AG17" s="15">
        <f t="shared" si="6"/>
        <v>0</v>
      </c>
    </row>
    <row r="18" spans="1:33" ht="18" customHeight="1">
      <c r="A18" s="10" t="s">
        <v>74</v>
      </c>
      <c r="B18" s="15">
        <f>IF(B15&gt;0,IF(B15&gt;Ipotesi!$C$62,Ipotesi!$C$62,B15),0)</f>
        <v>0</v>
      </c>
      <c r="C18" s="15">
        <f>IF(C15&gt;0,IF(C15&gt;Ipotesi!$C$62,Ipotesi!$C$62,C15),0)</f>
        <v>0</v>
      </c>
      <c r="D18" s="15">
        <f>IF(D15&gt;0,IF(D15&gt;Ipotesi!$C$62,Ipotesi!$C$62,D15),0)</f>
        <v>0</v>
      </c>
      <c r="E18" s="15">
        <f>IF(E15&gt;0,IF(E15&gt;Ipotesi!$C$62,Ipotesi!$C$62,E15),0)</f>
        <v>0</v>
      </c>
      <c r="F18" s="15">
        <f>IF(F15&gt;0,IF(F15&gt;Ipotesi!$C$62,Ipotesi!$C$62,F15),0)</f>
        <v>0</v>
      </c>
      <c r="G18" s="15">
        <f>IF(G15&gt;0,IF(G15&gt;Ipotesi!$C$62,Ipotesi!$C$62,G15),0)</f>
        <v>0</v>
      </c>
      <c r="H18" s="15">
        <f>IF(H15&gt;0,IF(H15&gt;Ipotesi!$C$62,Ipotesi!$C$62,H15),0)</f>
        <v>0</v>
      </c>
      <c r="I18" s="15">
        <f>IF(I15&gt;0,IF(I15&gt;Ipotesi!$C$62,Ipotesi!$C$62,I15),0)</f>
        <v>0</v>
      </c>
      <c r="J18" s="15">
        <f>IF(J15&gt;0,IF(J15&gt;Ipotesi!$C$62,Ipotesi!$C$62,J15),0)</f>
        <v>0</v>
      </c>
      <c r="K18" s="15">
        <f>IF(K15&gt;0,IF(K15&gt;Ipotesi!$C$62,Ipotesi!$C$62,K15),0)</f>
        <v>0</v>
      </c>
      <c r="L18" s="15">
        <f>IF(L15&gt;0,IF(L15&gt;Ipotesi!$C$62,Ipotesi!$C$62,L15),0)</f>
        <v>0</v>
      </c>
      <c r="M18" s="15">
        <f>IF(M15&gt;0,IF(M15&gt;Ipotesi!$C$62,Ipotesi!$C$62,M15),0)</f>
        <v>0</v>
      </c>
      <c r="N18" s="15">
        <f>IF(N15&gt;0,IF(N15&gt;Ipotesi!$C$62,Ipotesi!$C$62,N15),0)</f>
        <v>0</v>
      </c>
      <c r="O18" s="15">
        <f>IF(O15&gt;0,IF(O15&gt;Ipotesi!$C$62,Ipotesi!$C$62,O15),0)</f>
        <v>0</v>
      </c>
      <c r="P18" s="15">
        <f>IF(P15&gt;0,IF(P15&gt;Ipotesi!$C$62,Ipotesi!$C$62,P15),0)</f>
        <v>0</v>
      </c>
      <c r="Q18" s="15">
        <f>IF(Q15&gt;0,IF(Q15&gt;Ipotesi!$C$62,Ipotesi!$C$62,Q15),0)</f>
        <v>0</v>
      </c>
      <c r="R18" s="15">
        <f>IF(R15&gt;0,IF(R15&gt;Ipotesi!$C$62,Ipotesi!$C$62,R15),0)</f>
        <v>0</v>
      </c>
      <c r="S18" s="15">
        <f>IF(S15&gt;0,IF(S15&gt;Ipotesi!$C$62,Ipotesi!$C$62,S15),0)</f>
        <v>0</v>
      </c>
      <c r="T18" s="15">
        <f>IF(T15&gt;0,IF(T15&gt;Ipotesi!$C$62,Ipotesi!$C$62,T15),0)</f>
        <v>0</v>
      </c>
      <c r="U18" s="15">
        <f>IF(U15&gt;0,IF(U15&gt;Ipotesi!$C$62,Ipotesi!$C$62,U15),0)</f>
        <v>0</v>
      </c>
      <c r="V18" s="15">
        <f>IF(V15&gt;0,IF(V15&gt;Ipotesi!$C$62,Ipotesi!$C$62,V15),0)</f>
        <v>0</v>
      </c>
      <c r="W18" s="15">
        <f>IF(W15&gt;0,IF(W15&gt;Ipotesi!$C$62,Ipotesi!$C$62,W15),0)</f>
        <v>0</v>
      </c>
      <c r="X18" s="15">
        <f>IF(X15&gt;0,IF(X15&gt;Ipotesi!$C$62,Ipotesi!$C$62,X15),0)</f>
        <v>0</v>
      </c>
      <c r="Y18" s="15">
        <f>IF(Y15&gt;0,IF(Y15&gt;Ipotesi!$C$62,Ipotesi!$C$62,Y15),0)</f>
        <v>0</v>
      </c>
      <c r="Z18" s="15">
        <f>IF(Z15&gt;0,IF(Z15&gt;Ipotesi!$C$62,Ipotesi!$C$62,Z15),0)</f>
        <v>0</v>
      </c>
      <c r="AA18" s="15">
        <f>IF(AA15&gt;0,IF(AA15&gt;Ipotesi!$C$62,Ipotesi!$C$62,AA15),0)</f>
        <v>0</v>
      </c>
      <c r="AB18" s="15">
        <f>IF(AB15&gt;0,IF(AB15&gt;Ipotesi!$C$62,Ipotesi!$C$62,AB15),0)</f>
        <v>0</v>
      </c>
      <c r="AC18" s="15">
        <f>IF(AC15&gt;0,IF(AC15&gt;Ipotesi!$C$62,Ipotesi!$C$62,AC15),0)</f>
        <v>0</v>
      </c>
      <c r="AD18" s="15">
        <f>IF(AD15&gt;0,IF(AD15&gt;Ipotesi!$C$62,Ipotesi!$C$62,AD15),0)</f>
        <v>0</v>
      </c>
      <c r="AE18" s="15">
        <f>IF(AE15&gt;0,IF(AE15&gt;Ipotesi!$C$62,Ipotesi!$C$62,AE15),0)</f>
        <v>0</v>
      </c>
      <c r="AF18" s="15">
        <f>IF(AF15&gt;0,IF(AF15&gt;Ipotesi!$C$62,Ipotesi!$C$62,AF15),0)</f>
        <v>0</v>
      </c>
      <c r="AG18" s="15">
        <f>IF(AG15&gt;0,IF(AG15&gt;Ipotesi!$C$62,Ipotesi!$C$62,AG15),0)</f>
        <v>0</v>
      </c>
    </row>
    <row r="19" spans="1:33" s="2" customFormat="1" ht="18" customHeight="1">
      <c r="A19" s="199" t="s">
        <v>93</v>
      </c>
      <c r="B19" s="235">
        <f t="shared" ref="B19:AG19" si="7">B15+B16-B17-B18</f>
        <v>0</v>
      </c>
      <c r="C19" s="235">
        <f>C15+C16-C17-C18</f>
        <v>0</v>
      </c>
      <c r="D19" s="235">
        <f t="shared" si="7"/>
        <v>0</v>
      </c>
      <c r="E19" s="235">
        <f t="shared" si="7"/>
        <v>0</v>
      </c>
      <c r="F19" s="235">
        <f t="shared" si="7"/>
        <v>0</v>
      </c>
      <c r="G19" s="235">
        <f t="shared" si="7"/>
        <v>0</v>
      </c>
      <c r="H19" s="235">
        <f t="shared" si="7"/>
        <v>0</v>
      </c>
      <c r="I19" s="235">
        <f t="shared" si="7"/>
        <v>0</v>
      </c>
      <c r="J19" s="235">
        <f t="shared" si="7"/>
        <v>0</v>
      </c>
      <c r="K19" s="235">
        <f t="shared" si="7"/>
        <v>0</v>
      </c>
      <c r="L19" s="235">
        <f t="shared" si="7"/>
        <v>0</v>
      </c>
      <c r="M19" s="235">
        <f t="shared" si="7"/>
        <v>0</v>
      </c>
      <c r="N19" s="235">
        <f t="shared" si="7"/>
        <v>0</v>
      </c>
      <c r="O19" s="235">
        <f t="shared" si="7"/>
        <v>0</v>
      </c>
      <c r="P19" s="235">
        <f t="shared" si="7"/>
        <v>0</v>
      </c>
      <c r="Q19" s="235">
        <f t="shared" si="7"/>
        <v>0</v>
      </c>
      <c r="R19" s="235">
        <f t="shared" si="7"/>
        <v>0</v>
      </c>
      <c r="S19" s="235">
        <f t="shared" si="7"/>
        <v>0</v>
      </c>
      <c r="T19" s="235">
        <f t="shared" si="7"/>
        <v>0</v>
      </c>
      <c r="U19" s="235">
        <f t="shared" si="7"/>
        <v>0</v>
      </c>
      <c r="V19" s="235">
        <f t="shared" si="7"/>
        <v>0</v>
      </c>
      <c r="W19" s="235">
        <f t="shared" si="7"/>
        <v>0</v>
      </c>
      <c r="X19" s="235">
        <f t="shared" si="7"/>
        <v>0</v>
      </c>
      <c r="Y19" s="235">
        <f t="shared" si="7"/>
        <v>0</v>
      </c>
      <c r="Z19" s="235">
        <f t="shared" si="7"/>
        <v>0</v>
      </c>
      <c r="AA19" s="235">
        <f t="shared" si="7"/>
        <v>0</v>
      </c>
      <c r="AB19" s="235">
        <f t="shared" si="7"/>
        <v>0</v>
      </c>
      <c r="AC19" s="235">
        <f t="shared" si="7"/>
        <v>0</v>
      </c>
      <c r="AD19" s="235">
        <f t="shared" si="7"/>
        <v>0</v>
      </c>
      <c r="AE19" s="235">
        <f t="shared" si="7"/>
        <v>0</v>
      </c>
      <c r="AF19" s="235">
        <f t="shared" si="7"/>
        <v>0</v>
      </c>
      <c r="AG19" s="236">
        <f t="shared" si="7"/>
        <v>0</v>
      </c>
    </row>
    <row r="20" spans="1:33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</sheetData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61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1FA49-8C1A-564F-9154-D551998B818D}">
  <sheetPr codeName="Foglio5">
    <pageSetUpPr fitToPage="1"/>
  </sheetPr>
  <dimension ref="A1:AI70"/>
  <sheetViews>
    <sheetView topLeftCell="A2" zoomScale="85" zoomScaleNormal="85" workbookViewId="0">
      <selection activeCell="G36" sqref="G36"/>
    </sheetView>
  </sheetViews>
  <sheetFormatPr defaultColWidth="9.140625" defaultRowHeight="14.25" outlineLevelRow="1"/>
  <cols>
    <col min="1" max="1" width="20.140625" style="34" bestFit="1" customWidth="1"/>
    <col min="2" max="2" width="9.28515625" style="34" bestFit="1" customWidth="1"/>
    <col min="3" max="3" width="10" style="34" bestFit="1" customWidth="1"/>
    <col min="4" max="4" width="9.28515625" style="34" bestFit="1" customWidth="1"/>
    <col min="5" max="7" width="8.42578125" style="34" bestFit="1" customWidth="1"/>
    <col min="8" max="10" width="8.140625" style="34" bestFit="1" customWidth="1"/>
    <col min="11" max="11" width="8.42578125" style="34" bestFit="1" customWidth="1"/>
    <col min="12" max="12" width="8.140625" style="34" bestFit="1" customWidth="1"/>
    <col min="13" max="15" width="8.42578125" style="34" bestFit="1" customWidth="1"/>
    <col min="16" max="16" width="8.140625" style="34" bestFit="1" customWidth="1"/>
    <col min="17" max="18" width="8.42578125" style="34" bestFit="1" customWidth="1"/>
    <col min="19" max="19" width="8.140625" style="34" bestFit="1" customWidth="1"/>
    <col min="20" max="22" width="7.42578125" style="34" bestFit="1" customWidth="1"/>
    <col min="23" max="28" width="7.28515625" style="34" bestFit="1" customWidth="1"/>
    <col min="29" max="30" width="7" style="34" bestFit="1" customWidth="1"/>
    <col min="31" max="35" width="7.28515625" style="34" bestFit="1" customWidth="1"/>
    <col min="36" max="16384" width="9.140625" style="34"/>
  </cols>
  <sheetData>
    <row r="1" spans="1:35" s="124" customFormat="1" hidden="1" outlineLevel="1">
      <c r="B1" s="124">
        <v>1</v>
      </c>
      <c r="C1" s="124">
        <f>B1+1</f>
        <v>2</v>
      </c>
      <c r="D1" s="124">
        <f>C1+1</f>
        <v>3</v>
      </c>
      <c r="E1" s="124">
        <f t="shared" ref="E1:AI1" si="0">D1+1</f>
        <v>4</v>
      </c>
      <c r="F1" s="124">
        <f t="shared" si="0"/>
        <v>5</v>
      </c>
      <c r="G1" s="124">
        <f t="shared" si="0"/>
        <v>6</v>
      </c>
      <c r="H1" s="124">
        <f t="shared" si="0"/>
        <v>7</v>
      </c>
      <c r="I1" s="124">
        <f t="shared" si="0"/>
        <v>8</v>
      </c>
      <c r="J1" s="124">
        <f t="shared" si="0"/>
        <v>9</v>
      </c>
      <c r="K1" s="124">
        <f t="shared" si="0"/>
        <v>10</v>
      </c>
      <c r="L1" s="124">
        <f t="shared" si="0"/>
        <v>11</v>
      </c>
      <c r="M1" s="124">
        <f t="shared" si="0"/>
        <v>12</v>
      </c>
      <c r="N1" s="124">
        <f t="shared" si="0"/>
        <v>13</v>
      </c>
      <c r="O1" s="124">
        <f t="shared" si="0"/>
        <v>14</v>
      </c>
      <c r="P1" s="124">
        <f t="shared" si="0"/>
        <v>15</v>
      </c>
      <c r="Q1" s="124">
        <f t="shared" si="0"/>
        <v>16</v>
      </c>
      <c r="R1" s="124">
        <f t="shared" si="0"/>
        <v>17</v>
      </c>
      <c r="S1" s="124">
        <f t="shared" si="0"/>
        <v>18</v>
      </c>
      <c r="T1" s="124">
        <f t="shared" si="0"/>
        <v>19</v>
      </c>
      <c r="U1" s="124">
        <f t="shared" si="0"/>
        <v>20</v>
      </c>
      <c r="V1" s="124">
        <f t="shared" si="0"/>
        <v>21</v>
      </c>
      <c r="W1" s="124">
        <f t="shared" si="0"/>
        <v>22</v>
      </c>
      <c r="X1" s="124">
        <f t="shared" si="0"/>
        <v>23</v>
      </c>
      <c r="Y1" s="124">
        <f t="shared" si="0"/>
        <v>24</v>
      </c>
      <c r="Z1" s="124">
        <f t="shared" si="0"/>
        <v>25</v>
      </c>
      <c r="AA1" s="124">
        <f t="shared" si="0"/>
        <v>26</v>
      </c>
      <c r="AB1" s="124">
        <f t="shared" si="0"/>
        <v>27</v>
      </c>
      <c r="AC1" s="124">
        <f t="shared" si="0"/>
        <v>28</v>
      </c>
      <c r="AD1" s="124">
        <f t="shared" si="0"/>
        <v>29</v>
      </c>
      <c r="AE1" s="124">
        <f t="shared" si="0"/>
        <v>30</v>
      </c>
      <c r="AF1" s="124">
        <f t="shared" si="0"/>
        <v>31</v>
      </c>
      <c r="AG1" s="124">
        <f t="shared" si="0"/>
        <v>32</v>
      </c>
      <c r="AH1" s="124">
        <f t="shared" si="0"/>
        <v>33</v>
      </c>
      <c r="AI1" s="124">
        <f t="shared" si="0"/>
        <v>34</v>
      </c>
    </row>
    <row r="2" spans="1:35" collapsed="1">
      <c r="A2" s="136" t="s">
        <v>44</v>
      </c>
      <c r="B2" s="137">
        <f>Ipotesi!C17</f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9"/>
    </row>
    <row r="3" spans="1:35">
      <c r="A3" s="140" t="s">
        <v>2</v>
      </c>
      <c r="B3" s="35">
        <f>B2</f>
        <v>0</v>
      </c>
      <c r="C3" s="36"/>
      <c r="AI3" s="141"/>
    </row>
    <row r="4" spans="1:35">
      <c r="A4" s="140" t="s">
        <v>29</v>
      </c>
      <c r="B4" s="37">
        <f>Ipotesi!C18</f>
        <v>0.06</v>
      </c>
      <c r="C4" s="37"/>
      <c r="AI4" s="141"/>
    </row>
    <row r="5" spans="1:35">
      <c r="A5" s="140" t="s">
        <v>30</v>
      </c>
      <c r="B5" s="34">
        <f>Ipotesi!C19</f>
        <v>10</v>
      </c>
      <c r="AI5" s="141"/>
    </row>
    <row r="6" spans="1:35">
      <c r="A6" s="140"/>
      <c r="AI6" s="141"/>
    </row>
    <row r="7" spans="1:35" s="124" customFormat="1" hidden="1" outlineLevel="1">
      <c r="A7" s="142"/>
      <c r="B7" s="124">
        <v>0</v>
      </c>
      <c r="C7" s="125">
        <v>1</v>
      </c>
      <c r="D7" s="124">
        <v>2</v>
      </c>
      <c r="E7" s="125">
        <v>3</v>
      </c>
      <c r="F7" s="124">
        <v>4</v>
      </c>
      <c r="G7" s="124">
        <v>5</v>
      </c>
      <c r="H7" s="125">
        <v>6</v>
      </c>
      <c r="I7" s="124">
        <v>7</v>
      </c>
      <c r="J7" s="125">
        <v>8</v>
      </c>
      <c r="K7" s="124">
        <v>9</v>
      </c>
      <c r="L7" s="124">
        <v>10</v>
      </c>
      <c r="M7" s="125">
        <v>11</v>
      </c>
      <c r="N7" s="124">
        <v>12</v>
      </c>
      <c r="O7" s="125">
        <v>13</v>
      </c>
      <c r="P7" s="124">
        <v>14</v>
      </c>
      <c r="Q7" s="124">
        <v>15</v>
      </c>
      <c r="R7" s="125">
        <v>16</v>
      </c>
      <c r="S7" s="124">
        <v>17</v>
      </c>
      <c r="T7" s="125">
        <v>18</v>
      </c>
      <c r="U7" s="124">
        <v>19</v>
      </c>
      <c r="V7" s="124">
        <v>20</v>
      </c>
      <c r="W7" s="125">
        <v>21</v>
      </c>
      <c r="X7" s="124">
        <v>22</v>
      </c>
      <c r="Y7" s="125">
        <v>23</v>
      </c>
      <c r="Z7" s="124">
        <v>24</v>
      </c>
      <c r="AA7" s="124">
        <v>25</v>
      </c>
      <c r="AB7" s="125">
        <v>26</v>
      </c>
      <c r="AC7" s="124">
        <v>27</v>
      </c>
      <c r="AD7" s="125">
        <v>28</v>
      </c>
      <c r="AE7" s="124">
        <v>29</v>
      </c>
      <c r="AF7" s="124">
        <v>30</v>
      </c>
      <c r="AG7" s="125">
        <v>31</v>
      </c>
      <c r="AH7" s="124">
        <v>32</v>
      </c>
      <c r="AI7" s="143">
        <v>33</v>
      </c>
    </row>
    <row r="8" spans="1:35" s="10" customFormat="1" ht="28.5" collapsed="1">
      <c r="A8" s="144"/>
      <c r="B8" s="279" t="s">
        <v>144</v>
      </c>
      <c r="C8" s="279" t="s">
        <v>145</v>
      </c>
      <c r="D8" s="279" t="s">
        <v>146</v>
      </c>
      <c r="E8" s="279" t="s">
        <v>147</v>
      </c>
      <c r="F8" s="279" t="s">
        <v>148</v>
      </c>
      <c r="G8" s="279" t="s">
        <v>149</v>
      </c>
      <c r="H8" s="279" t="s">
        <v>150</v>
      </c>
      <c r="I8" s="279" t="s">
        <v>151</v>
      </c>
      <c r="J8" s="279" t="s">
        <v>152</v>
      </c>
      <c r="K8" s="279" t="s">
        <v>153</v>
      </c>
      <c r="L8" s="279" t="s">
        <v>154</v>
      </c>
      <c r="M8" s="279" t="s">
        <v>155</v>
      </c>
      <c r="N8" s="279" t="s">
        <v>156</v>
      </c>
      <c r="O8" s="279" t="s">
        <v>157</v>
      </c>
      <c r="P8" s="279" t="s">
        <v>158</v>
      </c>
      <c r="Q8" s="279" t="s">
        <v>159</v>
      </c>
      <c r="R8" s="279" t="s">
        <v>160</v>
      </c>
      <c r="S8" s="279" t="s">
        <v>161</v>
      </c>
      <c r="T8" s="279" t="s">
        <v>162</v>
      </c>
      <c r="U8" s="279" t="s">
        <v>163</v>
      </c>
      <c r="V8" s="279" t="s">
        <v>164</v>
      </c>
      <c r="W8" s="279" t="s">
        <v>165</v>
      </c>
      <c r="X8" s="279" t="s">
        <v>166</v>
      </c>
      <c r="Y8" s="279" t="s">
        <v>167</v>
      </c>
      <c r="Z8" s="279" t="s">
        <v>168</v>
      </c>
      <c r="AA8" s="279" t="s">
        <v>169</v>
      </c>
      <c r="AB8" s="279" t="s">
        <v>170</v>
      </c>
      <c r="AC8" s="279" t="s">
        <v>171</v>
      </c>
      <c r="AD8" s="279" t="s">
        <v>172</v>
      </c>
      <c r="AE8" s="279" t="s">
        <v>173</v>
      </c>
      <c r="AF8" s="279" t="s">
        <v>174</v>
      </c>
      <c r="AG8" s="279" t="s">
        <v>175</v>
      </c>
      <c r="AH8" s="279" t="s">
        <v>176</v>
      </c>
      <c r="AI8" s="280" t="s">
        <v>177</v>
      </c>
    </row>
    <row r="9" spans="1:35">
      <c r="A9" s="140" t="s">
        <v>26</v>
      </c>
      <c r="B9" s="133">
        <f>B3</f>
        <v>0</v>
      </c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I9" s="141"/>
    </row>
    <row r="10" spans="1:35">
      <c r="A10" s="140" t="s">
        <v>3</v>
      </c>
      <c r="B10" s="38">
        <f>IF(B1&lt;=$B5,(PMT($B4,$B5,$B3)),0)</f>
        <v>0</v>
      </c>
      <c r="C10" s="38">
        <f>IF(C1&lt;=$B5,(PMT($B4,$B5,$B3)),0)</f>
        <v>0</v>
      </c>
      <c r="D10" s="38">
        <f t="shared" ref="D10:AF10" si="1">IF(D1&lt;=$B5,(PMT($B4,$B5,$B3)),0)</f>
        <v>0</v>
      </c>
      <c r="E10" s="38">
        <f t="shared" si="1"/>
        <v>0</v>
      </c>
      <c r="F10" s="38">
        <f t="shared" si="1"/>
        <v>0</v>
      </c>
      <c r="G10" s="38">
        <f t="shared" si="1"/>
        <v>0</v>
      </c>
      <c r="H10" s="38">
        <f t="shared" si="1"/>
        <v>0</v>
      </c>
      <c r="I10" s="38">
        <f t="shared" si="1"/>
        <v>0</v>
      </c>
      <c r="J10" s="38">
        <f t="shared" si="1"/>
        <v>0</v>
      </c>
      <c r="K10" s="38">
        <f t="shared" si="1"/>
        <v>0</v>
      </c>
      <c r="L10" s="38">
        <f t="shared" si="1"/>
        <v>0</v>
      </c>
      <c r="M10" s="38">
        <f t="shared" si="1"/>
        <v>0</v>
      </c>
      <c r="N10" s="38">
        <f t="shared" si="1"/>
        <v>0</v>
      </c>
      <c r="O10" s="38">
        <f t="shared" si="1"/>
        <v>0</v>
      </c>
      <c r="P10" s="38">
        <f t="shared" si="1"/>
        <v>0</v>
      </c>
      <c r="Q10" s="38">
        <f t="shared" si="1"/>
        <v>0</v>
      </c>
      <c r="R10" s="38">
        <f t="shared" si="1"/>
        <v>0</v>
      </c>
      <c r="S10" s="38">
        <f t="shared" si="1"/>
        <v>0</v>
      </c>
      <c r="T10" s="38">
        <f t="shared" si="1"/>
        <v>0</v>
      </c>
      <c r="U10" s="38">
        <f t="shared" si="1"/>
        <v>0</v>
      </c>
      <c r="V10" s="38">
        <f t="shared" si="1"/>
        <v>0</v>
      </c>
      <c r="W10" s="38">
        <f t="shared" si="1"/>
        <v>0</v>
      </c>
      <c r="X10" s="38">
        <f t="shared" si="1"/>
        <v>0</v>
      </c>
      <c r="Y10" s="38">
        <f t="shared" si="1"/>
        <v>0</v>
      </c>
      <c r="Z10" s="38">
        <f t="shared" si="1"/>
        <v>0</v>
      </c>
      <c r="AA10" s="38">
        <f t="shared" si="1"/>
        <v>0</v>
      </c>
      <c r="AB10" s="38">
        <f t="shared" si="1"/>
        <v>0</v>
      </c>
      <c r="AC10" s="38">
        <f t="shared" si="1"/>
        <v>0</v>
      </c>
      <c r="AD10" s="38">
        <f t="shared" si="1"/>
        <v>0</v>
      </c>
      <c r="AE10" s="38">
        <f t="shared" si="1"/>
        <v>0</v>
      </c>
      <c r="AF10" s="38">
        <f t="shared" si="1"/>
        <v>0</v>
      </c>
      <c r="AG10" s="38">
        <f>IF(AG1&lt;=$B5,(PMT($B4,$B5,$B3)),0)</f>
        <v>0</v>
      </c>
      <c r="AH10" s="38">
        <f>IF(AH1&lt;=$B5,(PMT($B4,$B5,$B3)),0)</f>
        <v>0</v>
      </c>
      <c r="AI10" s="146">
        <f>IF(AI1&lt;=$B5,(PMT($B4,$B5,$B3)),0)</f>
        <v>0</v>
      </c>
    </row>
    <row r="11" spans="1:35">
      <c r="A11" s="147" t="s">
        <v>5</v>
      </c>
      <c r="B11" s="39">
        <f>B10-B12</f>
        <v>0</v>
      </c>
      <c r="C11" s="39">
        <f>C10-C12</f>
        <v>0</v>
      </c>
      <c r="D11" s="39">
        <f t="shared" ref="D11:AF11" si="2">D10-D12</f>
        <v>0</v>
      </c>
      <c r="E11" s="39">
        <f t="shared" si="2"/>
        <v>0</v>
      </c>
      <c r="F11" s="39">
        <f t="shared" si="2"/>
        <v>0</v>
      </c>
      <c r="G11" s="39">
        <f t="shared" si="2"/>
        <v>0</v>
      </c>
      <c r="H11" s="39">
        <f t="shared" si="2"/>
        <v>0</v>
      </c>
      <c r="I11" s="39">
        <f t="shared" si="2"/>
        <v>0</v>
      </c>
      <c r="J11" s="39">
        <f t="shared" si="2"/>
        <v>0</v>
      </c>
      <c r="K11" s="39">
        <f t="shared" si="2"/>
        <v>0</v>
      </c>
      <c r="L11" s="39">
        <f t="shared" si="2"/>
        <v>0</v>
      </c>
      <c r="M11" s="39">
        <f t="shared" si="2"/>
        <v>0</v>
      </c>
      <c r="N11" s="39">
        <f t="shared" si="2"/>
        <v>0</v>
      </c>
      <c r="O11" s="39">
        <f t="shared" si="2"/>
        <v>0</v>
      </c>
      <c r="P11" s="39">
        <f t="shared" si="2"/>
        <v>0</v>
      </c>
      <c r="Q11" s="39">
        <f t="shared" si="2"/>
        <v>0</v>
      </c>
      <c r="R11" s="39">
        <f t="shared" si="2"/>
        <v>0</v>
      </c>
      <c r="S11" s="39">
        <f t="shared" si="2"/>
        <v>0</v>
      </c>
      <c r="T11" s="39">
        <f t="shared" si="2"/>
        <v>0</v>
      </c>
      <c r="U11" s="39">
        <f t="shared" si="2"/>
        <v>0</v>
      </c>
      <c r="V11" s="39">
        <f t="shared" si="2"/>
        <v>0</v>
      </c>
      <c r="W11" s="39">
        <f t="shared" si="2"/>
        <v>0</v>
      </c>
      <c r="X11" s="39">
        <f t="shared" si="2"/>
        <v>0</v>
      </c>
      <c r="Y11" s="39">
        <f t="shared" si="2"/>
        <v>0</v>
      </c>
      <c r="Z11" s="39">
        <f t="shared" si="2"/>
        <v>0</v>
      </c>
      <c r="AA11" s="39">
        <f t="shared" si="2"/>
        <v>0</v>
      </c>
      <c r="AB11" s="39">
        <f t="shared" si="2"/>
        <v>0</v>
      </c>
      <c r="AC11" s="39">
        <f t="shared" si="2"/>
        <v>0</v>
      </c>
      <c r="AD11" s="39">
        <f t="shared" si="2"/>
        <v>0</v>
      </c>
      <c r="AE11" s="39">
        <f t="shared" si="2"/>
        <v>0</v>
      </c>
      <c r="AF11" s="39">
        <f t="shared" si="2"/>
        <v>0</v>
      </c>
      <c r="AG11" s="39">
        <f>AG10-AG12</f>
        <v>0</v>
      </c>
      <c r="AH11" s="39">
        <f>AH10-AH12</f>
        <v>0</v>
      </c>
      <c r="AI11" s="148">
        <f>AI10-AI12</f>
        <v>0</v>
      </c>
    </row>
    <row r="12" spans="1:35">
      <c r="A12" s="147" t="s">
        <v>27</v>
      </c>
      <c r="B12" s="39">
        <f>IF($B5&gt;B7,(IF((IPMT(B$4,1,$B5,$B3))&lt;0,(IPMT($B4,1,$B5,$B3)),0)),0)</f>
        <v>0</v>
      </c>
      <c r="C12" s="39">
        <f>IF($B5&gt;C7,(IF((IPMT($B4,1,(($B5)-C7),B13))&lt;0,(IPMT($B4,1,(($B5)-C7),B13)),0)),0)</f>
        <v>0</v>
      </c>
      <c r="D12" s="39">
        <f>IF($B5&gt;D7,(IF((IPMT($B4,1,(($B5)-D7),C13))&lt;0,(IPMT($B4,1,(($B5)-D7),C13)),0)),0)</f>
        <v>0</v>
      </c>
      <c r="E12" s="39">
        <f t="shared" ref="E12:AF12" si="3">IF($B5&gt;E7,(IF((IPMT($B4,1,(($B5)-E7),D13))&lt;0,(IPMT($B4,1,(($B5)-E7),D13)),0)),0)</f>
        <v>0</v>
      </c>
      <c r="F12" s="39">
        <f t="shared" si="3"/>
        <v>0</v>
      </c>
      <c r="G12" s="39">
        <f t="shared" si="3"/>
        <v>0</v>
      </c>
      <c r="H12" s="39">
        <f t="shared" si="3"/>
        <v>0</v>
      </c>
      <c r="I12" s="39">
        <f t="shared" si="3"/>
        <v>0</v>
      </c>
      <c r="J12" s="39">
        <f t="shared" si="3"/>
        <v>0</v>
      </c>
      <c r="K12" s="39">
        <f t="shared" si="3"/>
        <v>0</v>
      </c>
      <c r="L12" s="39">
        <f t="shared" si="3"/>
        <v>0</v>
      </c>
      <c r="M12" s="39">
        <f t="shared" si="3"/>
        <v>0</v>
      </c>
      <c r="N12" s="39">
        <f t="shared" si="3"/>
        <v>0</v>
      </c>
      <c r="O12" s="39">
        <f t="shared" si="3"/>
        <v>0</v>
      </c>
      <c r="P12" s="39">
        <f t="shared" si="3"/>
        <v>0</v>
      </c>
      <c r="Q12" s="39">
        <f t="shared" si="3"/>
        <v>0</v>
      </c>
      <c r="R12" s="39">
        <f t="shared" si="3"/>
        <v>0</v>
      </c>
      <c r="S12" s="39">
        <f t="shared" si="3"/>
        <v>0</v>
      </c>
      <c r="T12" s="39">
        <f t="shared" si="3"/>
        <v>0</v>
      </c>
      <c r="U12" s="39">
        <f t="shared" si="3"/>
        <v>0</v>
      </c>
      <c r="V12" s="39">
        <f>IF($B5&gt;V7,(IF((IPMT($B4,1,(($B5)-V7),U13))&lt;0,(IPMT($B4,1,(($B5)-V7),U13)),0)),0)</f>
        <v>0</v>
      </c>
      <c r="W12" s="39">
        <f t="shared" si="3"/>
        <v>0</v>
      </c>
      <c r="X12" s="39">
        <f t="shared" si="3"/>
        <v>0</v>
      </c>
      <c r="Y12" s="39">
        <f t="shared" si="3"/>
        <v>0</v>
      </c>
      <c r="Z12" s="39">
        <f t="shared" si="3"/>
        <v>0</v>
      </c>
      <c r="AA12" s="39">
        <f t="shared" si="3"/>
        <v>0</v>
      </c>
      <c r="AB12" s="39">
        <f t="shared" si="3"/>
        <v>0</v>
      </c>
      <c r="AC12" s="39">
        <f t="shared" si="3"/>
        <v>0</v>
      </c>
      <c r="AD12" s="39">
        <f t="shared" si="3"/>
        <v>0</v>
      </c>
      <c r="AE12" s="39">
        <f t="shared" si="3"/>
        <v>0</v>
      </c>
      <c r="AF12" s="39">
        <f t="shared" si="3"/>
        <v>0</v>
      </c>
      <c r="AG12" s="39">
        <f>IF($B5&gt;AG7,(IF((IPMT($B4,1,(($B5)-AG7),AF13))&lt;0,(IPMT($B4,1,(($B5)-AG7),AF13)),0)),0)</f>
        <v>0</v>
      </c>
      <c r="AH12" s="39">
        <f>IF($B5&gt;AH7,(IF((IPMT($B4,1,(($B5)-AH7),AG13))&lt;0,(IPMT($B4,1,(($B5)-AH7),AG13)),0)),0)</f>
        <v>0</v>
      </c>
      <c r="AI12" s="148">
        <f>IF($B5&gt;AI7,(IF((IPMT($B4,1,(($B5)-AI7),AH13))&lt;0,(IPMT($B4,1,(($B5)-AI7),AH13)),0)),0)</f>
        <v>0</v>
      </c>
    </row>
    <row r="13" spans="1:35">
      <c r="A13" s="149" t="s">
        <v>28</v>
      </c>
      <c r="B13" s="150">
        <f>B9+B11</f>
        <v>0</v>
      </c>
      <c r="C13" s="150">
        <f>B13+C11</f>
        <v>0</v>
      </c>
      <c r="D13" s="150">
        <f t="shared" ref="D13:AF13" si="4">C13+D11</f>
        <v>0</v>
      </c>
      <c r="E13" s="150">
        <f t="shared" si="4"/>
        <v>0</v>
      </c>
      <c r="F13" s="150">
        <f t="shared" si="4"/>
        <v>0</v>
      </c>
      <c r="G13" s="150">
        <f t="shared" si="4"/>
        <v>0</v>
      </c>
      <c r="H13" s="150">
        <f t="shared" si="4"/>
        <v>0</v>
      </c>
      <c r="I13" s="150">
        <f t="shared" si="4"/>
        <v>0</v>
      </c>
      <c r="J13" s="150">
        <f t="shared" si="4"/>
        <v>0</v>
      </c>
      <c r="K13" s="150">
        <f t="shared" si="4"/>
        <v>0</v>
      </c>
      <c r="L13" s="150">
        <f t="shared" si="4"/>
        <v>0</v>
      </c>
      <c r="M13" s="150">
        <f t="shared" si="4"/>
        <v>0</v>
      </c>
      <c r="N13" s="150">
        <f t="shared" si="4"/>
        <v>0</v>
      </c>
      <c r="O13" s="150">
        <f t="shared" si="4"/>
        <v>0</v>
      </c>
      <c r="P13" s="150">
        <f t="shared" si="4"/>
        <v>0</v>
      </c>
      <c r="Q13" s="150">
        <f t="shared" si="4"/>
        <v>0</v>
      </c>
      <c r="R13" s="150">
        <f t="shared" si="4"/>
        <v>0</v>
      </c>
      <c r="S13" s="150">
        <f t="shared" si="4"/>
        <v>0</v>
      </c>
      <c r="T13" s="150">
        <f t="shared" si="4"/>
        <v>0</v>
      </c>
      <c r="U13" s="150">
        <f t="shared" si="4"/>
        <v>0</v>
      </c>
      <c r="V13" s="150">
        <f t="shared" si="4"/>
        <v>0</v>
      </c>
      <c r="W13" s="150">
        <f t="shared" si="4"/>
        <v>0</v>
      </c>
      <c r="X13" s="150">
        <f t="shared" si="4"/>
        <v>0</v>
      </c>
      <c r="Y13" s="150">
        <f t="shared" si="4"/>
        <v>0</v>
      </c>
      <c r="Z13" s="150">
        <f t="shared" si="4"/>
        <v>0</v>
      </c>
      <c r="AA13" s="150">
        <f t="shared" si="4"/>
        <v>0</v>
      </c>
      <c r="AB13" s="150">
        <f t="shared" si="4"/>
        <v>0</v>
      </c>
      <c r="AC13" s="150">
        <f t="shared" si="4"/>
        <v>0</v>
      </c>
      <c r="AD13" s="150">
        <f t="shared" si="4"/>
        <v>0</v>
      </c>
      <c r="AE13" s="150">
        <f t="shared" si="4"/>
        <v>0</v>
      </c>
      <c r="AF13" s="150">
        <f t="shared" si="4"/>
        <v>0</v>
      </c>
      <c r="AG13" s="150">
        <f>AF13+AG11</f>
        <v>0</v>
      </c>
      <c r="AH13" s="150">
        <f>AG13+AH11</f>
        <v>0</v>
      </c>
      <c r="AI13" s="151">
        <f>AH13+AI11</f>
        <v>0</v>
      </c>
    </row>
    <row r="15" spans="1:35" s="124" customFormat="1" hidden="1" outlineLevel="1">
      <c r="C15" s="124">
        <v>1</v>
      </c>
      <c r="D15" s="124">
        <f>C15+1</f>
        <v>2</v>
      </c>
      <c r="E15" s="124">
        <f>D15+1</f>
        <v>3</v>
      </c>
      <c r="F15" s="124">
        <f t="shared" ref="F15:AI15" si="5">E15+1</f>
        <v>4</v>
      </c>
      <c r="G15" s="124">
        <f t="shared" si="5"/>
        <v>5</v>
      </c>
      <c r="H15" s="124">
        <f t="shared" si="5"/>
        <v>6</v>
      </c>
      <c r="I15" s="124">
        <f t="shared" si="5"/>
        <v>7</v>
      </c>
      <c r="J15" s="124">
        <f t="shared" si="5"/>
        <v>8</v>
      </c>
      <c r="K15" s="124">
        <f t="shared" si="5"/>
        <v>9</v>
      </c>
      <c r="L15" s="124">
        <f t="shared" si="5"/>
        <v>10</v>
      </c>
      <c r="M15" s="124">
        <f t="shared" si="5"/>
        <v>11</v>
      </c>
      <c r="N15" s="124">
        <f t="shared" si="5"/>
        <v>12</v>
      </c>
      <c r="O15" s="124">
        <f t="shared" si="5"/>
        <v>13</v>
      </c>
      <c r="P15" s="124">
        <f t="shared" si="5"/>
        <v>14</v>
      </c>
      <c r="Q15" s="124">
        <f t="shared" si="5"/>
        <v>15</v>
      </c>
      <c r="R15" s="124">
        <f t="shared" si="5"/>
        <v>16</v>
      </c>
      <c r="S15" s="124">
        <f t="shared" si="5"/>
        <v>17</v>
      </c>
      <c r="T15" s="124">
        <f t="shared" si="5"/>
        <v>18</v>
      </c>
      <c r="U15" s="124">
        <f t="shared" si="5"/>
        <v>19</v>
      </c>
      <c r="V15" s="124">
        <f t="shared" si="5"/>
        <v>20</v>
      </c>
      <c r="W15" s="124">
        <f t="shared" si="5"/>
        <v>21</v>
      </c>
      <c r="X15" s="124">
        <f t="shared" si="5"/>
        <v>22</v>
      </c>
      <c r="Y15" s="124">
        <f t="shared" si="5"/>
        <v>23</v>
      </c>
      <c r="Z15" s="124">
        <f t="shared" si="5"/>
        <v>24</v>
      </c>
      <c r="AA15" s="124">
        <f t="shared" si="5"/>
        <v>25</v>
      </c>
      <c r="AB15" s="124">
        <f t="shared" si="5"/>
        <v>26</v>
      </c>
      <c r="AC15" s="124">
        <f t="shared" si="5"/>
        <v>27</v>
      </c>
      <c r="AD15" s="124">
        <f t="shared" si="5"/>
        <v>28</v>
      </c>
      <c r="AE15" s="124">
        <f t="shared" si="5"/>
        <v>29</v>
      </c>
      <c r="AF15" s="124">
        <f t="shared" si="5"/>
        <v>30</v>
      </c>
      <c r="AG15" s="124">
        <f t="shared" si="5"/>
        <v>31</v>
      </c>
      <c r="AH15" s="124">
        <f t="shared" si="5"/>
        <v>32</v>
      </c>
      <c r="AI15" s="124">
        <f t="shared" si="5"/>
        <v>33</v>
      </c>
    </row>
    <row r="16" spans="1:35" collapsed="1">
      <c r="A16" s="136" t="s">
        <v>44</v>
      </c>
      <c r="B16" s="138"/>
      <c r="C16" s="137">
        <f>Ipotesi!D17</f>
        <v>0</v>
      </c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9"/>
    </row>
    <row r="17" spans="1:35">
      <c r="A17" s="140" t="s">
        <v>2</v>
      </c>
      <c r="C17" s="35">
        <f>C16</f>
        <v>0</v>
      </c>
      <c r="D17" s="36"/>
      <c r="AI17" s="141"/>
    </row>
    <row r="18" spans="1:35">
      <c r="A18" s="140" t="s">
        <v>29</v>
      </c>
      <c r="C18" s="37">
        <f>Ipotesi!C18</f>
        <v>0.06</v>
      </c>
      <c r="D18" s="37"/>
      <c r="AI18" s="141"/>
    </row>
    <row r="19" spans="1:35">
      <c r="A19" s="140" t="s">
        <v>30</v>
      </c>
      <c r="C19" s="34">
        <f>Ipotesi!C19</f>
        <v>10</v>
      </c>
      <c r="AI19" s="141"/>
    </row>
    <row r="20" spans="1:35">
      <c r="A20" s="140"/>
      <c r="AI20" s="141"/>
    </row>
    <row r="21" spans="1:35" s="124" customFormat="1" hidden="1" outlineLevel="1">
      <c r="A21" s="142"/>
      <c r="C21" s="124">
        <v>0</v>
      </c>
      <c r="D21" s="125">
        <v>1</v>
      </c>
      <c r="E21" s="124">
        <v>2</v>
      </c>
      <c r="F21" s="125">
        <v>3</v>
      </c>
      <c r="G21" s="124">
        <v>4</v>
      </c>
      <c r="H21" s="124">
        <v>5</v>
      </c>
      <c r="I21" s="125">
        <v>6</v>
      </c>
      <c r="J21" s="124">
        <v>7</v>
      </c>
      <c r="K21" s="125">
        <v>8</v>
      </c>
      <c r="L21" s="124">
        <v>9</v>
      </c>
      <c r="M21" s="124">
        <v>10</v>
      </c>
      <c r="N21" s="125">
        <v>11</v>
      </c>
      <c r="O21" s="124">
        <v>12</v>
      </c>
      <c r="P21" s="125">
        <v>13</v>
      </c>
      <c r="Q21" s="124">
        <v>14</v>
      </c>
      <c r="R21" s="124">
        <v>15</v>
      </c>
      <c r="S21" s="125">
        <v>16</v>
      </c>
      <c r="T21" s="124">
        <v>17</v>
      </c>
      <c r="U21" s="125">
        <v>18</v>
      </c>
      <c r="V21" s="124">
        <v>19</v>
      </c>
      <c r="W21" s="124">
        <v>20</v>
      </c>
      <c r="X21" s="125">
        <v>21</v>
      </c>
      <c r="Y21" s="124">
        <v>22</v>
      </c>
      <c r="Z21" s="125">
        <v>23</v>
      </c>
      <c r="AA21" s="124">
        <v>24</v>
      </c>
      <c r="AB21" s="124">
        <v>25</v>
      </c>
      <c r="AC21" s="125">
        <v>26</v>
      </c>
      <c r="AD21" s="124">
        <v>27</v>
      </c>
      <c r="AE21" s="125">
        <v>28</v>
      </c>
      <c r="AF21" s="124">
        <v>29</v>
      </c>
      <c r="AG21" s="124">
        <v>30</v>
      </c>
      <c r="AH21" s="124">
        <v>31</v>
      </c>
      <c r="AI21" s="143">
        <v>32</v>
      </c>
    </row>
    <row r="22" spans="1:35" s="10" customFormat="1" ht="28.5" collapsed="1">
      <c r="A22" s="144"/>
      <c r="B22" s="53" t="str">
        <f>B8</f>
        <v>Anno 1</v>
      </c>
      <c r="C22" s="53" t="str">
        <f t="shared" ref="C22:AI22" si="6">C8</f>
        <v>Anno 2</v>
      </c>
      <c r="D22" s="53" t="str">
        <f t="shared" si="6"/>
        <v>Anno 3</v>
      </c>
      <c r="E22" s="53" t="str">
        <f t="shared" si="6"/>
        <v>Anno 4</v>
      </c>
      <c r="F22" s="53" t="str">
        <f t="shared" si="6"/>
        <v>Anno 5</v>
      </c>
      <c r="G22" s="53" t="str">
        <f t="shared" si="6"/>
        <v>Anno 6</v>
      </c>
      <c r="H22" s="53" t="str">
        <f t="shared" si="6"/>
        <v>Anno 7</v>
      </c>
      <c r="I22" s="53" t="str">
        <f t="shared" si="6"/>
        <v>Anno 8</v>
      </c>
      <c r="J22" s="53" t="str">
        <f t="shared" si="6"/>
        <v>Anno 9</v>
      </c>
      <c r="K22" s="53" t="str">
        <f t="shared" si="6"/>
        <v>Anno 10</v>
      </c>
      <c r="L22" s="53" t="str">
        <f t="shared" si="6"/>
        <v>Anno 11</v>
      </c>
      <c r="M22" s="53" t="str">
        <f t="shared" si="6"/>
        <v>Anno 12</v>
      </c>
      <c r="N22" s="53" t="str">
        <f t="shared" si="6"/>
        <v>Anno 13</v>
      </c>
      <c r="O22" s="53" t="str">
        <f t="shared" si="6"/>
        <v>Anno 14</v>
      </c>
      <c r="P22" s="53" t="str">
        <f t="shared" si="6"/>
        <v>Anno 15</v>
      </c>
      <c r="Q22" s="53" t="str">
        <f t="shared" si="6"/>
        <v>Anno 16</v>
      </c>
      <c r="R22" s="53" t="str">
        <f t="shared" si="6"/>
        <v>Anno 17</v>
      </c>
      <c r="S22" s="53" t="str">
        <f t="shared" si="6"/>
        <v>Anno 18</v>
      </c>
      <c r="T22" s="53" t="str">
        <f t="shared" si="6"/>
        <v>Anno 19</v>
      </c>
      <c r="U22" s="53" t="str">
        <f t="shared" si="6"/>
        <v>Anno 20</v>
      </c>
      <c r="V22" s="53" t="str">
        <f t="shared" si="6"/>
        <v>Anno 21</v>
      </c>
      <c r="W22" s="53" t="str">
        <f t="shared" si="6"/>
        <v>Anno 22</v>
      </c>
      <c r="X22" s="53" t="str">
        <f t="shared" si="6"/>
        <v>Anno 23</v>
      </c>
      <c r="Y22" s="53" t="str">
        <f t="shared" si="6"/>
        <v>Anno 24</v>
      </c>
      <c r="Z22" s="53" t="str">
        <f t="shared" si="6"/>
        <v>Anno 25</v>
      </c>
      <c r="AA22" s="53" t="str">
        <f t="shared" si="6"/>
        <v>Anno 26</v>
      </c>
      <c r="AB22" s="53" t="str">
        <f t="shared" si="6"/>
        <v>Anno 27</v>
      </c>
      <c r="AC22" s="53" t="str">
        <f t="shared" si="6"/>
        <v>Anno 28</v>
      </c>
      <c r="AD22" s="53" t="str">
        <f t="shared" si="6"/>
        <v>Anno 29</v>
      </c>
      <c r="AE22" s="53" t="str">
        <f t="shared" si="6"/>
        <v>Anno 30</v>
      </c>
      <c r="AF22" s="53" t="str">
        <f t="shared" si="6"/>
        <v>Anno 31</v>
      </c>
      <c r="AG22" s="53" t="str">
        <f t="shared" si="6"/>
        <v>Anno 32</v>
      </c>
      <c r="AH22" s="53" t="str">
        <f t="shared" si="6"/>
        <v>Anno 33</v>
      </c>
      <c r="AI22" s="145" t="str">
        <f t="shared" si="6"/>
        <v>Anno 34</v>
      </c>
    </row>
    <row r="23" spans="1:35">
      <c r="A23" s="140" t="s">
        <v>26</v>
      </c>
      <c r="C23" s="133">
        <f>C17</f>
        <v>0</v>
      </c>
      <c r="D23" s="38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I23" s="141"/>
    </row>
    <row r="24" spans="1:35">
      <c r="A24" s="140" t="s">
        <v>3</v>
      </c>
      <c r="C24" s="38">
        <f t="shared" ref="C24:AI24" si="7">IF(C15&lt;=$C19,(PMT($C18,$C19,$C17)),0)</f>
        <v>0</v>
      </c>
      <c r="D24" s="38">
        <f t="shared" si="7"/>
        <v>0</v>
      </c>
      <c r="E24" s="38">
        <f t="shared" si="7"/>
        <v>0</v>
      </c>
      <c r="F24" s="38">
        <f t="shared" si="7"/>
        <v>0</v>
      </c>
      <c r="G24" s="38">
        <f t="shared" si="7"/>
        <v>0</v>
      </c>
      <c r="H24" s="38">
        <f t="shared" si="7"/>
        <v>0</v>
      </c>
      <c r="I24" s="38">
        <f t="shared" si="7"/>
        <v>0</v>
      </c>
      <c r="J24" s="38">
        <f t="shared" si="7"/>
        <v>0</v>
      </c>
      <c r="K24" s="38">
        <f t="shared" si="7"/>
        <v>0</v>
      </c>
      <c r="L24" s="38">
        <f t="shared" si="7"/>
        <v>0</v>
      </c>
      <c r="M24" s="38">
        <f t="shared" si="7"/>
        <v>0</v>
      </c>
      <c r="N24" s="38">
        <f t="shared" si="7"/>
        <v>0</v>
      </c>
      <c r="O24" s="38">
        <f t="shared" si="7"/>
        <v>0</v>
      </c>
      <c r="P24" s="38">
        <f t="shared" si="7"/>
        <v>0</v>
      </c>
      <c r="Q24" s="38">
        <f t="shared" si="7"/>
        <v>0</v>
      </c>
      <c r="R24" s="38">
        <f t="shared" si="7"/>
        <v>0</v>
      </c>
      <c r="S24" s="38">
        <f t="shared" si="7"/>
        <v>0</v>
      </c>
      <c r="T24" s="38">
        <f t="shared" si="7"/>
        <v>0</v>
      </c>
      <c r="U24" s="38">
        <f t="shared" si="7"/>
        <v>0</v>
      </c>
      <c r="V24" s="38">
        <f t="shared" si="7"/>
        <v>0</v>
      </c>
      <c r="W24" s="38">
        <f t="shared" si="7"/>
        <v>0</v>
      </c>
      <c r="X24" s="38">
        <f t="shared" si="7"/>
        <v>0</v>
      </c>
      <c r="Y24" s="38">
        <f t="shared" si="7"/>
        <v>0</v>
      </c>
      <c r="Z24" s="38">
        <f t="shared" si="7"/>
        <v>0</v>
      </c>
      <c r="AA24" s="38">
        <f t="shared" si="7"/>
        <v>0</v>
      </c>
      <c r="AB24" s="38">
        <f t="shared" si="7"/>
        <v>0</v>
      </c>
      <c r="AC24" s="38">
        <f t="shared" si="7"/>
        <v>0</v>
      </c>
      <c r="AD24" s="38">
        <f t="shared" si="7"/>
        <v>0</v>
      </c>
      <c r="AE24" s="38">
        <f t="shared" si="7"/>
        <v>0</v>
      </c>
      <c r="AF24" s="38">
        <f t="shared" si="7"/>
        <v>0</v>
      </c>
      <c r="AG24" s="38">
        <f t="shared" si="7"/>
        <v>0</v>
      </c>
      <c r="AH24" s="38">
        <f t="shared" si="7"/>
        <v>0</v>
      </c>
      <c r="AI24" s="146">
        <f t="shared" si="7"/>
        <v>0</v>
      </c>
    </row>
    <row r="25" spans="1:35">
      <c r="A25" s="147" t="s">
        <v>5</v>
      </c>
      <c r="C25" s="39">
        <f t="shared" ref="C25:AI25" si="8">C24-C26</f>
        <v>0</v>
      </c>
      <c r="D25" s="39">
        <f t="shared" si="8"/>
        <v>0</v>
      </c>
      <c r="E25" s="39">
        <f t="shared" si="8"/>
        <v>0</v>
      </c>
      <c r="F25" s="39">
        <f t="shared" si="8"/>
        <v>0</v>
      </c>
      <c r="G25" s="39">
        <f t="shared" si="8"/>
        <v>0</v>
      </c>
      <c r="H25" s="39">
        <f t="shared" si="8"/>
        <v>0</v>
      </c>
      <c r="I25" s="39">
        <f t="shared" si="8"/>
        <v>0</v>
      </c>
      <c r="J25" s="39">
        <f t="shared" si="8"/>
        <v>0</v>
      </c>
      <c r="K25" s="39">
        <f t="shared" si="8"/>
        <v>0</v>
      </c>
      <c r="L25" s="39">
        <f t="shared" si="8"/>
        <v>0</v>
      </c>
      <c r="M25" s="39">
        <f t="shared" si="8"/>
        <v>0</v>
      </c>
      <c r="N25" s="39">
        <f t="shared" si="8"/>
        <v>0</v>
      </c>
      <c r="O25" s="39">
        <f t="shared" si="8"/>
        <v>0</v>
      </c>
      <c r="P25" s="39">
        <f t="shared" si="8"/>
        <v>0</v>
      </c>
      <c r="Q25" s="39">
        <f t="shared" si="8"/>
        <v>0</v>
      </c>
      <c r="R25" s="39">
        <f t="shared" si="8"/>
        <v>0</v>
      </c>
      <c r="S25" s="39">
        <f t="shared" si="8"/>
        <v>0</v>
      </c>
      <c r="T25" s="39">
        <f t="shared" si="8"/>
        <v>0</v>
      </c>
      <c r="U25" s="39">
        <f t="shared" si="8"/>
        <v>0</v>
      </c>
      <c r="V25" s="39">
        <f t="shared" si="8"/>
        <v>0</v>
      </c>
      <c r="W25" s="39">
        <f t="shared" si="8"/>
        <v>0</v>
      </c>
      <c r="X25" s="39">
        <f t="shared" si="8"/>
        <v>0</v>
      </c>
      <c r="Y25" s="39">
        <f t="shared" si="8"/>
        <v>0</v>
      </c>
      <c r="Z25" s="39">
        <f t="shared" si="8"/>
        <v>0</v>
      </c>
      <c r="AA25" s="39">
        <f t="shared" si="8"/>
        <v>0</v>
      </c>
      <c r="AB25" s="39">
        <f t="shared" si="8"/>
        <v>0</v>
      </c>
      <c r="AC25" s="39">
        <f t="shared" si="8"/>
        <v>0</v>
      </c>
      <c r="AD25" s="39">
        <f t="shared" si="8"/>
        <v>0</v>
      </c>
      <c r="AE25" s="39">
        <f t="shared" si="8"/>
        <v>0</v>
      </c>
      <c r="AF25" s="39">
        <f t="shared" si="8"/>
        <v>0</v>
      </c>
      <c r="AG25" s="39">
        <f t="shared" si="8"/>
        <v>0</v>
      </c>
      <c r="AH25" s="39">
        <f t="shared" si="8"/>
        <v>0</v>
      </c>
      <c r="AI25" s="148">
        <f t="shared" si="8"/>
        <v>0</v>
      </c>
    </row>
    <row r="26" spans="1:35">
      <c r="A26" s="147" t="s">
        <v>27</v>
      </c>
      <c r="C26" s="39">
        <f>IF($C19&gt;C21,(IF((IPMT(B$4,1,$C19,$C17))&lt;0,(IPMT($C18,1,$C19,$C17)),0)),0)</f>
        <v>0</v>
      </c>
      <c r="D26" s="39">
        <f t="shared" ref="D26:AI26" si="9">IF($C19&gt;D21,(IF((IPMT($C18,1,(($C19)-D21),C27))&lt;0,(IPMT($C18,1,(($C19)-D21),C27)),0)),0)</f>
        <v>0</v>
      </c>
      <c r="E26" s="39">
        <f t="shared" si="9"/>
        <v>0</v>
      </c>
      <c r="F26" s="39">
        <f t="shared" si="9"/>
        <v>0</v>
      </c>
      <c r="G26" s="39">
        <f t="shared" si="9"/>
        <v>0</v>
      </c>
      <c r="H26" s="39">
        <f t="shared" si="9"/>
        <v>0</v>
      </c>
      <c r="I26" s="39">
        <f t="shared" si="9"/>
        <v>0</v>
      </c>
      <c r="J26" s="39">
        <f t="shared" si="9"/>
        <v>0</v>
      </c>
      <c r="K26" s="39">
        <f t="shared" si="9"/>
        <v>0</v>
      </c>
      <c r="L26" s="39">
        <f t="shared" si="9"/>
        <v>0</v>
      </c>
      <c r="M26" s="39">
        <f t="shared" si="9"/>
        <v>0</v>
      </c>
      <c r="N26" s="39">
        <f t="shared" si="9"/>
        <v>0</v>
      </c>
      <c r="O26" s="39">
        <f t="shared" si="9"/>
        <v>0</v>
      </c>
      <c r="P26" s="39">
        <f t="shared" si="9"/>
        <v>0</v>
      </c>
      <c r="Q26" s="39">
        <f t="shared" si="9"/>
        <v>0</v>
      </c>
      <c r="R26" s="39">
        <f t="shared" si="9"/>
        <v>0</v>
      </c>
      <c r="S26" s="39">
        <f t="shared" si="9"/>
        <v>0</v>
      </c>
      <c r="T26" s="39">
        <f t="shared" si="9"/>
        <v>0</v>
      </c>
      <c r="U26" s="39">
        <f t="shared" si="9"/>
        <v>0</v>
      </c>
      <c r="V26" s="39">
        <f t="shared" si="9"/>
        <v>0</v>
      </c>
      <c r="W26" s="39">
        <f t="shared" si="9"/>
        <v>0</v>
      </c>
      <c r="X26" s="39">
        <f t="shared" si="9"/>
        <v>0</v>
      </c>
      <c r="Y26" s="39">
        <f t="shared" si="9"/>
        <v>0</v>
      </c>
      <c r="Z26" s="39">
        <f t="shared" si="9"/>
        <v>0</v>
      </c>
      <c r="AA26" s="39">
        <f t="shared" si="9"/>
        <v>0</v>
      </c>
      <c r="AB26" s="39">
        <f t="shared" si="9"/>
        <v>0</v>
      </c>
      <c r="AC26" s="39">
        <f t="shared" si="9"/>
        <v>0</v>
      </c>
      <c r="AD26" s="39">
        <f t="shared" si="9"/>
        <v>0</v>
      </c>
      <c r="AE26" s="39">
        <f t="shared" si="9"/>
        <v>0</v>
      </c>
      <c r="AF26" s="39">
        <f t="shared" si="9"/>
        <v>0</v>
      </c>
      <c r="AG26" s="39">
        <f t="shared" si="9"/>
        <v>0</v>
      </c>
      <c r="AH26" s="39">
        <f t="shared" si="9"/>
        <v>0</v>
      </c>
      <c r="AI26" s="148">
        <f t="shared" si="9"/>
        <v>0</v>
      </c>
    </row>
    <row r="27" spans="1:35">
      <c r="A27" s="149" t="s">
        <v>28</v>
      </c>
      <c r="B27" s="152"/>
      <c r="C27" s="150">
        <f>C23+C25</f>
        <v>0</v>
      </c>
      <c r="D27" s="150">
        <f>C27+D25</f>
        <v>0</v>
      </c>
      <c r="E27" s="150">
        <f t="shared" ref="E27:AG27" si="10">D27+E25</f>
        <v>0</v>
      </c>
      <c r="F27" s="150">
        <f t="shared" si="10"/>
        <v>0</v>
      </c>
      <c r="G27" s="150">
        <f t="shared" si="10"/>
        <v>0</v>
      </c>
      <c r="H27" s="150">
        <f t="shared" si="10"/>
        <v>0</v>
      </c>
      <c r="I27" s="150">
        <f t="shared" si="10"/>
        <v>0</v>
      </c>
      <c r="J27" s="150">
        <f t="shared" si="10"/>
        <v>0</v>
      </c>
      <c r="K27" s="150">
        <f t="shared" si="10"/>
        <v>0</v>
      </c>
      <c r="L27" s="150">
        <f t="shared" si="10"/>
        <v>0</v>
      </c>
      <c r="M27" s="150">
        <f t="shared" si="10"/>
        <v>0</v>
      </c>
      <c r="N27" s="150">
        <f t="shared" si="10"/>
        <v>0</v>
      </c>
      <c r="O27" s="150">
        <f t="shared" si="10"/>
        <v>0</v>
      </c>
      <c r="P27" s="150">
        <f t="shared" si="10"/>
        <v>0</v>
      </c>
      <c r="Q27" s="150">
        <f t="shared" si="10"/>
        <v>0</v>
      </c>
      <c r="R27" s="150">
        <f t="shared" si="10"/>
        <v>0</v>
      </c>
      <c r="S27" s="150">
        <f t="shared" si="10"/>
        <v>0</v>
      </c>
      <c r="T27" s="150">
        <f t="shared" si="10"/>
        <v>0</v>
      </c>
      <c r="U27" s="150">
        <f t="shared" si="10"/>
        <v>0</v>
      </c>
      <c r="V27" s="150">
        <f t="shared" si="10"/>
        <v>0</v>
      </c>
      <c r="W27" s="150">
        <f t="shared" si="10"/>
        <v>0</v>
      </c>
      <c r="X27" s="150">
        <f t="shared" si="10"/>
        <v>0</v>
      </c>
      <c r="Y27" s="150">
        <f t="shared" si="10"/>
        <v>0</v>
      </c>
      <c r="Z27" s="150">
        <f t="shared" si="10"/>
        <v>0</v>
      </c>
      <c r="AA27" s="150">
        <f t="shared" si="10"/>
        <v>0</v>
      </c>
      <c r="AB27" s="150">
        <f t="shared" si="10"/>
        <v>0</v>
      </c>
      <c r="AC27" s="150">
        <f t="shared" si="10"/>
        <v>0</v>
      </c>
      <c r="AD27" s="150">
        <f t="shared" si="10"/>
        <v>0</v>
      </c>
      <c r="AE27" s="150">
        <f t="shared" si="10"/>
        <v>0</v>
      </c>
      <c r="AF27" s="150">
        <f t="shared" si="10"/>
        <v>0</v>
      </c>
      <c r="AG27" s="150">
        <f t="shared" si="10"/>
        <v>0</v>
      </c>
      <c r="AH27" s="150">
        <f>AG27+AH25</f>
        <v>0</v>
      </c>
      <c r="AI27" s="151">
        <f>AH27+AI25</f>
        <v>0</v>
      </c>
    </row>
    <row r="29" spans="1:35" s="124" customFormat="1" hidden="1" outlineLevel="1">
      <c r="D29" s="124">
        <v>1</v>
      </c>
      <c r="E29" s="124">
        <f>D29+1</f>
        <v>2</v>
      </c>
      <c r="F29" s="124">
        <f>E29+1</f>
        <v>3</v>
      </c>
      <c r="G29" s="124">
        <f t="shared" ref="G29:AI29" si="11">F29+1</f>
        <v>4</v>
      </c>
      <c r="H29" s="124">
        <f t="shared" si="11"/>
        <v>5</v>
      </c>
      <c r="I29" s="124">
        <f t="shared" si="11"/>
        <v>6</v>
      </c>
      <c r="J29" s="124">
        <f t="shared" si="11"/>
        <v>7</v>
      </c>
      <c r="K29" s="124">
        <f t="shared" si="11"/>
        <v>8</v>
      </c>
      <c r="L29" s="124">
        <f t="shared" si="11"/>
        <v>9</v>
      </c>
      <c r="M29" s="124">
        <f t="shared" si="11"/>
        <v>10</v>
      </c>
      <c r="N29" s="124">
        <f t="shared" si="11"/>
        <v>11</v>
      </c>
      <c r="O29" s="124">
        <f t="shared" si="11"/>
        <v>12</v>
      </c>
      <c r="P29" s="124">
        <f t="shared" si="11"/>
        <v>13</v>
      </c>
      <c r="Q29" s="124">
        <f t="shared" si="11"/>
        <v>14</v>
      </c>
      <c r="R29" s="124">
        <f t="shared" si="11"/>
        <v>15</v>
      </c>
      <c r="S29" s="124">
        <f t="shared" si="11"/>
        <v>16</v>
      </c>
      <c r="T29" s="124">
        <f t="shared" si="11"/>
        <v>17</v>
      </c>
      <c r="U29" s="124">
        <f t="shared" si="11"/>
        <v>18</v>
      </c>
      <c r="V29" s="124">
        <f t="shared" si="11"/>
        <v>19</v>
      </c>
      <c r="W29" s="124">
        <f t="shared" si="11"/>
        <v>20</v>
      </c>
      <c r="X29" s="124">
        <f t="shared" si="11"/>
        <v>21</v>
      </c>
      <c r="Y29" s="124">
        <f t="shared" si="11"/>
        <v>22</v>
      </c>
      <c r="Z29" s="124">
        <f t="shared" si="11"/>
        <v>23</v>
      </c>
      <c r="AA29" s="124">
        <f t="shared" si="11"/>
        <v>24</v>
      </c>
      <c r="AB29" s="124">
        <f t="shared" si="11"/>
        <v>25</v>
      </c>
      <c r="AC29" s="124">
        <f t="shared" si="11"/>
        <v>26</v>
      </c>
      <c r="AD29" s="124">
        <f t="shared" si="11"/>
        <v>27</v>
      </c>
      <c r="AE29" s="124">
        <f t="shared" si="11"/>
        <v>28</v>
      </c>
      <c r="AF29" s="124">
        <f t="shared" si="11"/>
        <v>29</v>
      </c>
      <c r="AG29" s="124">
        <f t="shared" si="11"/>
        <v>30</v>
      </c>
      <c r="AH29" s="124">
        <f t="shared" si="11"/>
        <v>31</v>
      </c>
      <c r="AI29" s="124">
        <f t="shared" si="11"/>
        <v>32</v>
      </c>
    </row>
    <row r="30" spans="1:35" collapsed="1">
      <c r="A30" s="136" t="s">
        <v>44</v>
      </c>
      <c r="B30" s="138"/>
      <c r="C30" s="138"/>
      <c r="D30" s="137">
        <f>Ipotesi!E17</f>
        <v>0</v>
      </c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9"/>
    </row>
    <row r="31" spans="1:35">
      <c r="A31" s="140" t="s">
        <v>2</v>
      </c>
      <c r="D31" s="35">
        <f>D30</f>
        <v>0</v>
      </c>
      <c r="E31" s="36"/>
      <c r="AI31" s="141"/>
    </row>
    <row r="32" spans="1:35">
      <c r="A32" s="140" t="s">
        <v>29</v>
      </c>
      <c r="D32" s="37">
        <f>Ipotesi!C18</f>
        <v>0.06</v>
      </c>
      <c r="E32" s="37"/>
      <c r="AI32" s="141"/>
    </row>
    <row r="33" spans="1:35">
      <c r="A33" s="140" t="s">
        <v>30</v>
      </c>
      <c r="D33" s="34">
        <f>Ipotesi!C19</f>
        <v>10</v>
      </c>
      <c r="AI33" s="141"/>
    </row>
    <row r="34" spans="1:35">
      <c r="A34" s="140"/>
      <c r="AI34" s="141"/>
    </row>
    <row r="35" spans="1:35" s="124" customFormat="1" hidden="1" outlineLevel="1">
      <c r="A35" s="142"/>
      <c r="D35" s="124">
        <v>0</v>
      </c>
      <c r="E35" s="125">
        <v>1</v>
      </c>
      <c r="F35" s="124">
        <v>2</v>
      </c>
      <c r="G35" s="125">
        <v>3</v>
      </c>
      <c r="H35" s="124">
        <v>4</v>
      </c>
      <c r="I35" s="124">
        <v>5</v>
      </c>
      <c r="J35" s="125">
        <v>6</v>
      </c>
      <c r="K35" s="124">
        <v>7</v>
      </c>
      <c r="L35" s="125">
        <v>8</v>
      </c>
      <c r="M35" s="124">
        <v>9</v>
      </c>
      <c r="N35" s="124">
        <v>10</v>
      </c>
      <c r="O35" s="125">
        <v>11</v>
      </c>
      <c r="P35" s="124">
        <v>12</v>
      </c>
      <c r="Q35" s="125">
        <v>13</v>
      </c>
      <c r="R35" s="124">
        <v>14</v>
      </c>
      <c r="S35" s="124">
        <v>15</v>
      </c>
      <c r="T35" s="125">
        <v>16</v>
      </c>
      <c r="U35" s="124">
        <v>17</v>
      </c>
      <c r="V35" s="125">
        <v>18</v>
      </c>
      <c r="W35" s="124">
        <v>19</v>
      </c>
      <c r="X35" s="124">
        <v>20</v>
      </c>
      <c r="Y35" s="125">
        <v>21</v>
      </c>
      <c r="Z35" s="124">
        <v>22</v>
      </c>
      <c r="AA35" s="125">
        <v>23</v>
      </c>
      <c r="AB35" s="124">
        <v>24</v>
      </c>
      <c r="AC35" s="124">
        <v>25</v>
      </c>
      <c r="AD35" s="125">
        <v>26</v>
      </c>
      <c r="AE35" s="124">
        <v>27</v>
      </c>
      <c r="AF35" s="125">
        <v>28</v>
      </c>
      <c r="AG35" s="124">
        <v>29</v>
      </c>
      <c r="AH35" s="124">
        <v>30</v>
      </c>
      <c r="AI35" s="143">
        <v>31</v>
      </c>
    </row>
    <row r="36" spans="1:35" s="10" customFormat="1" ht="28.5" collapsed="1">
      <c r="A36" s="144"/>
      <c r="B36" s="53" t="str">
        <f>B8</f>
        <v>Anno 1</v>
      </c>
      <c r="C36" s="53" t="str">
        <f t="shared" ref="C36:AI36" si="12">C8</f>
        <v>Anno 2</v>
      </c>
      <c r="D36" s="53" t="str">
        <f t="shared" si="12"/>
        <v>Anno 3</v>
      </c>
      <c r="E36" s="53" t="str">
        <f t="shared" si="12"/>
        <v>Anno 4</v>
      </c>
      <c r="F36" s="53" t="str">
        <f t="shared" si="12"/>
        <v>Anno 5</v>
      </c>
      <c r="G36" s="53" t="str">
        <f t="shared" si="12"/>
        <v>Anno 6</v>
      </c>
      <c r="H36" s="53" t="str">
        <f t="shared" si="12"/>
        <v>Anno 7</v>
      </c>
      <c r="I36" s="53" t="str">
        <f t="shared" si="12"/>
        <v>Anno 8</v>
      </c>
      <c r="J36" s="53" t="str">
        <f t="shared" si="12"/>
        <v>Anno 9</v>
      </c>
      <c r="K36" s="53" t="str">
        <f t="shared" si="12"/>
        <v>Anno 10</v>
      </c>
      <c r="L36" s="53" t="str">
        <f t="shared" si="12"/>
        <v>Anno 11</v>
      </c>
      <c r="M36" s="53" t="str">
        <f t="shared" si="12"/>
        <v>Anno 12</v>
      </c>
      <c r="N36" s="53" t="str">
        <f t="shared" si="12"/>
        <v>Anno 13</v>
      </c>
      <c r="O36" s="53" t="str">
        <f t="shared" si="12"/>
        <v>Anno 14</v>
      </c>
      <c r="P36" s="53" t="str">
        <f t="shared" si="12"/>
        <v>Anno 15</v>
      </c>
      <c r="Q36" s="53" t="str">
        <f t="shared" si="12"/>
        <v>Anno 16</v>
      </c>
      <c r="R36" s="53" t="str">
        <f t="shared" si="12"/>
        <v>Anno 17</v>
      </c>
      <c r="S36" s="53" t="str">
        <f t="shared" si="12"/>
        <v>Anno 18</v>
      </c>
      <c r="T36" s="53" t="str">
        <f t="shared" si="12"/>
        <v>Anno 19</v>
      </c>
      <c r="U36" s="53" t="str">
        <f t="shared" si="12"/>
        <v>Anno 20</v>
      </c>
      <c r="V36" s="53" t="str">
        <f t="shared" si="12"/>
        <v>Anno 21</v>
      </c>
      <c r="W36" s="53" t="str">
        <f t="shared" si="12"/>
        <v>Anno 22</v>
      </c>
      <c r="X36" s="53" t="str">
        <f t="shared" si="12"/>
        <v>Anno 23</v>
      </c>
      <c r="Y36" s="53" t="str">
        <f t="shared" si="12"/>
        <v>Anno 24</v>
      </c>
      <c r="Z36" s="53" t="str">
        <f t="shared" si="12"/>
        <v>Anno 25</v>
      </c>
      <c r="AA36" s="53" t="str">
        <f t="shared" si="12"/>
        <v>Anno 26</v>
      </c>
      <c r="AB36" s="53" t="str">
        <f t="shared" si="12"/>
        <v>Anno 27</v>
      </c>
      <c r="AC36" s="53" t="str">
        <f t="shared" si="12"/>
        <v>Anno 28</v>
      </c>
      <c r="AD36" s="53" t="str">
        <f t="shared" si="12"/>
        <v>Anno 29</v>
      </c>
      <c r="AE36" s="53" t="str">
        <f t="shared" si="12"/>
        <v>Anno 30</v>
      </c>
      <c r="AF36" s="53" t="str">
        <f t="shared" si="12"/>
        <v>Anno 31</v>
      </c>
      <c r="AG36" s="53" t="str">
        <f t="shared" si="12"/>
        <v>Anno 32</v>
      </c>
      <c r="AH36" s="53" t="str">
        <f t="shared" si="12"/>
        <v>Anno 33</v>
      </c>
      <c r="AI36" s="145" t="str">
        <f t="shared" si="12"/>
        <v>Anno 34</v>
      </c>
    </row>
    <row r="37" spans="1:35">
      <c r="A37" s="140" t="s">
        <v>26</v>
      </c>
      <c r="D37" s="133">
        <f>D31</f>
        <v>0</v>
      </c>
      <c r="E37" s="38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141"/>
    </row>
    <row r="38" spans="1:35">
      <c r="A38" s="140" t="s">
        <v>3</v>
      </c>
      <c r="D38" s="38">
        <f t="shared" ref="D38:AI38" si="13">IF(D29&lt;=$D33,(PMT($D32,$D33,$D31)),0)</f>
        <v>0</v>
      </c>
      <c r="E38" s="38">
        <f t="shared" si="13"/>
        <v>0</v>
      </c>
      <c r="F38" s="38">
        <f t="shared" si="13"/>
        <v>0</v>
      </c>
      <c r="G38" s="38">
        <f t="shared" si="13"/>
        <v>0</v>
      </c>
      <c r="H38" s="38">
        <f t="shared" si="13"/>
        <v>0</v>
      </c>
      <c r="I38" s="38">
        <f t="shared" si="13"/>
        <v>0</v>
      </c>
      <c r="J38" s="38">
        <f t="shared" si="13"/>
        <v>0</v>
      </c>
      <c r="K38" s="38">
        <f t="shared" si="13"/>
        <v>0</v>
      </c>
      <c r="L38" s="38">
        <f t="shared" si="13"/>
        <v>0</v>
      </c>
      <c r="M38" s="38">
        <f t="shared" si="13"/>
        <v>0</v>
      </c>
      <c r="N38" s="38">
        <f t="shared" si="13"/>
        <v>0</v>
      </c>
      <c r="O38" s="38">
        <f t="shared" si="13"/>
        <v>0</v>
      </c>
      <c r="P38" s="38">
        <f t="shared" si="13"/>
        <v>0</v>
      </c>
      <c r="Q38" s="38">
        <f t="shared" si="13"/>
        <v>0</v>
      </c>
      <c r="R38" s="38">
        <f t="shared" si="13"/>
        <v>0</v>
      </c>
      <c r="S38" s="38">
        <f t="shared" si="13"/>
        <v>0</v>
      </c>
      <c r="T38" s="38">
        <f t="shared" si="13"/>
        <v>0</v>
      </c>
      <c r="U38" s="38">
        <f t="shared" si="13"/>
        <v>0</v>
      </c>
      <c r="V38" s="38">
        <f t="shared" si="13"/>
        <v>0</v>
      </c>
      <c r="W38" s="38">
        <f t="shared" si="13"/>
        <v>0</v>
      </c>
      <c r="X38" s="38">
        <f t="shared" si="13"/>
        <v>0</v>
      </c>
      <c r="Y38" s="38">
        <f t="shared" si="13"/>
        <v>0</v>
      </c>
      <c r="Z38" s="38">
        <f t="shared" si="13"/>
        <v>0</v>
      </c>
      <c r="AA38" s="38">
        <f t="shared" si="13"/>
        <v>0</v>
      </c>
      <c r="AB38" s="38">
        <f t="shared" si="13"/>
        <v>0</v>
      </c>
      <c r="AC38" s="38">
        <f t="shared" si="13"/>
        <v>0</v>
      </c>
      <c r="AD38" s="38">
        <f t="shared" si="13"/>
        <v>0</v>
      </c>
      <c r="AE38" s="38">
        <f t="shared" si="13"/>
        <v>0</v>
      </c>
      <c r="AF38" s="38">
        <f t="shared" si="13"/>
        <v>0</v>
      </c>
      <c r="AG38" s="38">
        <f t="shared" si="13"/>
        <v>0</v>
      </c>
      <c r="AH38" s="38">
        <f t="shared" si="13"/>
        <v>0</v>
      </c>
      <c r="AI38" s="146">
        <f t="shared" si="13"/>
        <v>0</v>
      </c>
    </row>
    <row r="39" spans="1:35">
      <c r="A39" s="147" t="s">
        <v>5</v>
      </c>
      <c r="D39" s="39">
        <f t="shared" ref="D39:AI39" si="14">D38-D40</f>
        <v>0</v>
      </c>
      <c r="E39" s="39">
        <f t="shared" si="14"/>
        <v>0</v>
      </c>
      <c r="F39" s="39">
        <f t="shared" si="14"/>
        <v>0</v>
      </c>
      <c r="G39" s="39">
        <f t="shared" si="14"/>
        <v>0</v>
      </c>
      <c r="H39" s="39">
        <f t="shared" si="14"/>
        <v>0</v>
      </c>
      <c r="I39" s="39">
        <f t="shared" si="14"/>
        <v>0</v>
      </c>
      <c r="J39" s="39">
        <f t="shared" si="14"/>
        <v>0</v>
      </c>
      <c r="K39" s="39">
        <f t="shared" si="14"/>
        <v>0</v>
      </c>
      <c r="L39" s="39">
        <f t="shared" si="14"/>
        <v>0</v>
      </c>
      <c r="M39" s="39">
        <f t="shared" si="14"/>
        <v>0</v>
      </c>
      <c r="N39" s="39">
        <f t="shared" si="14"/>
        <v>0</v>
      </c>
      <c r="O39" s="39">
        <f t="shared" si="14"/>
        <v>0</v>
      </c>
      <c r="P39" s="39">
        <f t="shared" si="14"/>
        <v>0</v>
      </c>
      <c r="Q39" s="39">
        <f t="shared" si="14"/>
        <v>0</v>
      </c>
      <c r="R39" s="39">
        <f t="shared" si="14"/>
        <v>0</v>
      </c>
      <c r="S39" s="39">
        <f t="shared" si="14"/>
        <v>0</v>
      </c>
      <c r="T39" s="39">
        <f t="shared" si="14"/>
        <v>0</v>
      </c>
      <c r="U39" s="39">
        <f t="shared" si="14"/>
        <v>0</v>
      </c>
      <c r="V39" s="39">
        <f t="shared" si="14"/>
        <v>0</v>
      </c>
      <c r="W39" s="39">
        <f t="shared" si="14"/>
        <v>0</v>
      </c>
      <c r="X39" s="39">
        <f t="shared" si="14"/>
        <v>0</v>
      </c>
      <c r="Y39" s="39">
        <f t="shared" si="14"/>
        <v>0</v>
      </c>
      <c r="Z39" s="39">
        <f t="shared" si="14"/>
        <v>0</v>
      </c>
      <c r="AA39" s="39">
        <f t="shared" si="14"/>
        <v>0</v>
      </c>
      <c r="AB39" s="39">
        <f t="shared" si="14"/>
        <v>0</v>
      </c>
      <c r="AC39" s="39">
        <f t="shared" si="14"/>
        <v>0</v>
      </c>
      <c r="AD39" s="39">
        <f t="shared" si="14"/>
        <v>0</v>
      </c>
      <c r="AE39" s="39">
        <f t="shared" si="14"/>
        <v>0</v>
      </c>
      <c r="AF39" s="39">
        <f t="shared" si="14"/>
        <v>0</v>
      </c>
      <c r="AG39" s="39">
        <f t="shared" si="14"/>
        <v>0</v>
      </c>
      <c r="AH39" s="39">
        <f t="shared" si="14"/>
        <v>0</v>
      </c>
      <c r="AI39" s="148">
        <f t="shared" si="14"/>
        <v>0</v>
      </c>
    </row>
    <row r="40" spans="1:35">
      <c r="A40" s="147" t="s">
        <v>27</v>
      </c>
      <c r="D40" s="39">
        <f>IF($D33&gt;D35,(IF((IPMT(B$4,1,$D33,$D31))&lt;0,(IPMT($D32,1,$D33,$D31)),0)),0)</f>
        <v>0</v>
      </c>
      <c r="E40" s="39">
        <f t="shared" ref="E40:AI40" si="15">IF($D33&gt;E35,(IF((IPMT($D32,1,(($D33)-E35),D41))&lt;0,(IPMT($D32,1,(($D33)-E35),D41)),0)),0)</f>
        <v>0</v>
      </c>
      <c r="F40" s="39">
        <f t="shared" si="15"/>
        <v>0</v>
      </c>
      <c r="G40" s="39">
        <f t="shared" si="15"/>
        <v>0</v>
      </c>
      <c r="H40" s="39">
        <f t="shared" si="15"/>
        <v>0</v>
      </c>
      <c r="I40" s="39">
        <f t="shared" si="15"/>
        <v>0</v>
      </c>
      <c r="J40" s="39">
        <f t="shared" si="15"/>
        <v>0</v>
      </c>
      <c r="K40" s="39">
        <f t="shared" si="15"/>
        <v>0</v>
      </c>
      <c r="L40" s="39">
        <f t="shared" si="15"/>
        <v>0</v>
      </c>
      <c r="M40" s="39">
        <f t="shared" si="15"/>
        <v>0</v>
      </c>
      <c r="N40" s="39">
        <f t="shared" si="15"/>
        <v>0</v>
      </c>
      <c r="O40" s="39">
        <f t="shared" si="15"/>
        <v>0</v>
      </c>
      <c r="P40" s="39">
        <f t="shared" si="15"/>
        <v>0</v>
      </c>
      <c r="Q40" s="39">
        <f t="shared" si="15"/>
        <v>0</v>
      </c>
      <c r="R40" s="39">
        <f t="shared" si="15"/>
        <v>0</v>
      </c>
      <c r="S40" s="39">
        <f t="shared" si="15"/>
        <v>0</v>
      </c>
      <c r="T40" s="39">
        <f t="shared" si="15"/>
        <v>0</v>
      </c>
      <c r="U40" s="39">
        <f t="shared" si="15"/>
        <v>0</v>
      </c>
      <c r="V40" s="39">
        <f t="shared" si="15"/>
        <v>0</v>
      </c>
      <c r="W40" s="39">
        <f t="shared" si="15"/>
        <v>0</v>
      </c>
      <c r="X40" s="39">
        <f t="shared" si="15"/>
        <v>0</v>
      </c>
      <c r="Y40" s="39">
        <f t="shared" si="15"/>
        <v>0</v>
      </c>
      <c r="Z40" s="39">
        <f t="shared" si="15"/>
        <v>0</v>
      </c>
      <c r="AA40" s="39">
        <f t="shared" si="15"/>
        <v>0</v>
      </c>
      <c r="AB40" s="39">
        <f t="shared" si="15"/>
        <v>0</v>
      </c>
      <c r="AC40" s="39">
        <f t="shared" si="15"/>
        <v>0</v>
      </c>
      <c r="AD40" s="39">
        <f t="shared" si="15"/>
        <v>0</v>
      </c>
      <c r="AE40" s="39">
        <f t="shared" si="15"/>
        <v>0</v>
      </c>
      <c r="AF40" s="39">
        <f t="shared" si="15"/>
        <v>0</v>
      </c>
      <c r="AG40" s="39">
        <f t="shared" si="15"/>
        <v>0</v>
      </c>
      <c r="AH40" s="39">
        <f t="shared" si="15"/>
        <v>0</v>
      </c>
      <c r="AI40" s="148">
        <f t="shared" si="15"/>
        <v>0</v>
      </c>
    </row>
    <row r="41" spans="1:35">
      <c r="A41" s="149" t="s">
        <v>28</v>
      </c>
      <c r="B41" s="152"/>
      <c r="C41" s="152"/>
      <c r="D41" s="150">
        <f>D37+D39</f>
        <v>0</v>
      </c>
      <c r="E41" s="150">
        <f>D41+E39</f>
        <v>0</v>
      </c>
      <c r="F41" s="150">
        <f t="shared" ref="F41:AH41" si="16">E41+F39</f>
        <v>0</v>
      </c>
      <c r="G41" s="150">
        <f t="shared" si="16"/>
        <v>0</v>
      </c>
      <c r="H41" s="150">
        <f t="shared" si="16"/>
        <v>0</v>
      </c>
      <c r="I41" s="150">
        <f t="shared" si="16"/>
        <v>0</v>
      </c>
      <c r="J41" s="150">
        <f t="shared" si="16"/>
        <v>0</v>
      </c>
      <c r="K41" s="150">
        <f t="shared" si="16"/>
        <v>0</v>
      </c>
      <c r="L41" s="150">
        <f t="shared" si="16"/>
        <v>0</v>
      </c>
      <c r="M41" s="150">
        <f t="shared" si="16"/>
        <v>0</v>
      </c>
      <c r="N41" s="150">
        <f t="shared" si="16"/>
        <v>0</v>
      </c>
      <c r="O41" s="150">
        <f t="shared" si="16"/>
        <v>0</v>
      </c>
      <c r="P41" s="150">
        <f t="shared" si="16"/>
        <v>0</v>
      </c>
      <c r="Q41" s="150">
        <f t="shared" si="16"/>
        <v>0</v>
      </c>
      <c r="R41" s="150">
        <f t="shared" si="16"/>
        <v>0</v>
      </c>
      <c r="S41" s="150">
        <f t="shared" si="16"/>
        <v>0</v>
      </c>
      <c r="T41" s="150">
        <f t="shared" si="16"/>
        <v>0</v>
      </c>
      <c r="U41" s="150">
        <f t="shared" si="16"/>
        <v>0</v>
      </c>
      <c r="V41" s="150">
        <f t="shared" si="16"/>
        <v>0</v>
      </c>
      <c r="W41" s="150">
        <f t="shared" si="16"/>
        <v>0</v>
      </c>
      <c r="X41" s="150">
        <f t="shared" si="16"/>
        <v>0</v>
      </c>
      <c r="Y41" s="150">
        <f t="shared" si="16"/>
        <v>0</v>
      </c>
      <c r="Z41" s="150">
        <f t="shared" si="16"/>
        <v>0</v>
      </c>
      <c r="AA41" s="150">
        <f t="shared" si="16"/>
        <v>0</v>
      </c>
      <c r="AB41" s="150">
        <f t="shared" si="16"/>
        <v>0</v>
      </c>
      <c r="AC41" s="150">
        <f t="shared" si="16"/>
        <v>0</v>
      </c>
      <c r="AD41" s="150">
        <f t="shared" si="16"/>
        <v>0</v>
      </c>
      <c r="AE41" s="150">
        <f t="shared" si="16"/>
        <v>0</v>
      </c>
      <c r="AF41" s="150">
        <f t="shared" si="16"/>
        <v>0</v>
      </c>
      <c r="AG41" s="150">
        <f t="shared" si="16"/>
        <v>0</v>
      </c>
      <c r="AH41" s="150">
        <f t="shared" si="16"/>
        <v>0</v>
      </c>
      <c r="AI41" s="151">
        <f>AH41+AI39</f>
        <v>0</v>
      </c>
    </row>
    <row r="43" spans="1:35" s="124" customFormat="1" hidden="1" outlineLevel="1">
      <c r="E43" s="124">
        <v>1</v>
      </c>
      <c r="F43" s="124">
        <f>E43+1</f>
        <v>2</v>
      </c>
      <c r="G43" s="124">
        <f>F43+1</f>
        <v>3</v>
      </c>
      <c r="H43" s="124">
        <f t="shared" ref="H43:AI43" si="17">G43+1</f>
        <v>4</v>
      </c>
      <c r="I43" s="124">
        <f t="shared" si="17"/>
        <v>5</v>
      </c>
      <c r="J43" s="124">
        <f t="shared" si="17"/>
        <v>6</v>
      </c>
      <c r="K43" s="124">
        <f t="shared" si="17"/>
        <v>7</v>
      </c>
      <c r="L43" s="124">
        <f t="shared" si="17"/>
        <v>8</v>
      </c>
      <c r="M43" s="124">
        <f t="shared" si="17"/>
        <v>9</v>
      </c>
      <c r="N43" s="124">
        <f t="shared" si="17"/>
        <v>10</v>
      </c>
      <c r="O43" s="124">
        <f t="shared" si="17"/>
        <v>11</v>
      </c>
      <c r="P43" s="124">
        <f t="shared" si="17"/>
        <v>12</v>
      </c>
      <c r="Q43" s="124">
        <f t="shared" si="17"/>
        <v>13</v>
      </c>
      <c r="R43" s="124">
        <f t="shared" si="17"/>
        <v>14</v>
      </c>
      <c r="S43" s="124">
        <f t="shared" si="17"/>
        <v>15</v>
      </c>
      <c r="T43" s="124">
        <f t="shared" si="17"/>
        <v>16</v>
      </c>
      <c r="U43" s="124">
        <f t="shared" si="17"/>
        <v>17</v>
      </c>
      <c r="V43" s="124">
        <f t="shared" si="17"/>
        <v>18</v>
      </c>
      <c r="W43" s="124">
        <f t="shared" si="17"/>
        <v>19</v>
      </c>
      <c r="X43" s="124">
        <f t="shared" si="17"/>
        <v>20</v>
      </c>
      <c r="Y43" s="124">
        <f t="shared" si="17"/>
        <v>21</v>
      </c>
      <c r="Z43" s="124">
        <f t="shared" si="17"/>
        <v>22</v>
      </c>
      <c r="AA43" s="124">
        <f t="shared" si="17"/>
        <v>23</v>
      </c>
      <c r="AB43" s="124">
        <f t="shared" si="17"/>
        <v>24</v>
      </c>
      <c r="AC43" s="124">
        <f t="shared" si="17"/>
        <v>25</v>
      </c>
      <c r="AD43" s="124">
        <f t="shared" si="17"/>
        <v>26</v>
      </c>
      <c r="AE43" s="124">
        <f t="shared" si="17"/>
        <v>27</v>
      </c>
      <c r="AF43" s="124">
        <f t="shared" si="17"/>
        <v>28</v>
      </c>
      <c r="AG43" s="124">
        <f t="shared" si="17"/>
        <v>29</v>
      </c>
      <c r="AH43" s="124">
        <f t="shared" si="17"/>
        <v>30</v>
      </c>
      <c r="AI43" s="124">
        <f t="shared" si="17"/>
        <v>31</v>
      </c>
    </row>
    <row r="44" spans="1:35" collapsed="1">
      <c r="A44" s="136" t="s">
        <v>44</v>
      </c>
      <c r="B44" s="138"/>
      <c r="C44" s="138"/>
      <c r="D44" s="138"/>
      <c r="E44" s="137">
        <f>Ipotesi!F17</f>
        <v>0</v>
      </c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9"/>
    </row>
    <row r="45" spans="1:35">
      <c r="A45" s="140" t="s">
        <v>2</v>
      </c>
      <c r="E45" s="35">
        <f>E44</f>
        <v>0</v>
      </c>
      <c r="F45" s="36"/>
      <c r="AI45" s="141"/>
    </row>
    <row r="46" spans="1:35">
      <c r="A46" s="140" t="s">
        <v>29</v>
      </c>
      <c r="E46" s="37">
        <f>Ipotesi!C18</f>
        <v>0.06</v>
      </c>
      <c r="F46" s="37"/>
      <c r="AI46" s="141"/>
    </row>
    <row r="47" spans="1:35">
      <c r="A47" s="140" t="s">
        <v>30</v>
      </c>
      <c r="E47" s="34">
        <f>Ipotesi!C19</f>
        <v>10</v>
      </c>
      <c r="AI47" s="141"/>
    </row>
    <row r="48" spans="1:35">
      <c r="A48" s="140"/>
      <c r="AI48" s="141"/>
    </row>
    <row r="49" spans="1:35" s="124" customFormat="1" hidden="1" outlineLevel="1">
      <c r="A49" s="142"/>
      <c r="E49" s="124">
        <v>0</v>
      </c>
      <c r="F49" s="125">
        <v>1</v>
      </c>
      <c r="G49" s="124">
        <v>2</v>
      </c>
      <c r="H49" s="125">
        <v>3</v>
      </c>
      <c r="I49" s="124">
        <v>4</v>
      </c>
      <c r="J49" s="124">
        <v>5</v>
      </c>
      <c r="K49" s="125">
        <v>6</v>
      </c>
      <c r="L49" s="124">
        <v>7</v>
      </c>
      <c r="M49" s="125">
        <v>8</v>
      </c>
      <c r="N49" s="124">
        <v>9</v>
      </c>
      <c r="O49" s="124">
        <v>10</v>
      </c>
      <c r="P49" s="125">
        <v>11</v>
      </c>
      <c r="Q49" s="124">
        <v>12</v>
      </c>
      <c r="R49" s="125">
        <v>13</v>
      </c>
      <c r="S49" s="124">
        <v>14</v>
      </c>
      <c r="T49" s="124">
        <v>15</v>
      </c>
      <c r="U49" s="125">
        <v>16</v>
      </c>
      <c r="V49" s="124">
        <v>17</v>
      </c>
      <c r="W49" s="125">
        <v>18</v>
      </c>
      <c r="X49" s="124">
        <v>19</v>
      </c>
      <c r="Y49" s="124">
        <v>20</v>
      </c>
      <c r="Z49" s="125">
        <v>21</v>
      </c>
      <c r="AA49" s="124">
        <v>22</v>
      </c>
      <c r="AB49" s="125">
        <v>23</v>
      </c>
      <c r="AC49" s="124">
        <v>24</v>
      </c>
      <c r="AD49" s="124">
        <v>25</v>
      </c>
      <c r="AE49" s="125">
        <v>26</v>
      </c>
      <c r="AF49" s="124">
        <v>27</v>
      </c>
      <c r="AG49" s="125">
        <v>28</v>
      </c>
      <c r="AH49" s="124">
        <v>29</v>
      </c>
      <c r="AI49" s="143">
        <v>30</v>
      </c>
    </row>
    <row r="50" spans="1:35" s="10" customFormat="1" ht="28.5" collapsed="1">
      <c r="A50" s="144"/>
      <c r="B50" s="53" t="str">
        <f>B8</f>
        <v>Anno 1</v>
      </c>
      <c r="C50" s="53" t="str">
        <f t="shared" ref="C50:AI50" si="18">C8</f>
        <v>Anno 2</v>
      </c>
      <c r="D50" s="53" t="str">
        <f t="shared" si="18"/>
        <v>Anno 3</v>
      </c>
      <c r="E50" s="53" t="str">
        <f t="shared" si="18"/>
        <v>Anno 4</v>
      </c>
      <c r="F50" s="53" t="str">
        <f t="shared" si="18"/>
        <v>Anno 5</v>
      </c>
      <c r="G50" s="53" t="str">
        <f t="shared" si="18"/>
        <v>Anno 6</v>
      </c>
      <c r="H50" s="53" t="str">
        <f t="shared" si="18"/>
        <v>Anno 7</v>
      </c>
      <c r="I50" s="53" t="str">
        <f t="shared" si="18"/>
        <v>Anno 8</v>
      </c>
      <c r="J50" s="53" t="str">
        <f t="shared" si="18"/>
        <v>Anno 9</v>
      </c>
      <c r="K50" s="53" t="str">
        <f t="shared" si="18"/>
        <v>Anno 10</v>
      </c>
      <c r="L50" s="53" t="str">
        <f t="shared" si="18"/>
        <v>Anno 11</v>
      </c>
      <c r="M50" s="53" t="str">
        <f t="shared" si="18"/>
        <v>Anno 12</v>
      </c>
      <c r="N50" s="53" t="str">
        <f t="shared" si="18"/>
        <v>Anno 13</v>
      </c>
      <c r="O50" s="53" t="str">
        <f t="shared" si="18"/>
        <v>Anno 14</v>
      </c>
      <c r="P50" s="53" t="str">
        <f t="shared" si="18"/>
        <v>Anno 15</v>
      </c>
      <c r="Q50" s="53" t="str">
        <f t="shared" si="18"/>
        <v>Anno 16</v>
      </c>
      <c r="R50" s="53" t="str">
        <f t="shared" si="18"/>
        <v>Anno 17</v>
      </c>
      <c r="S50" s="53" t="str">
        <f t="shared" si="18"/>
        <v>Anno 18</v>
      </c>
      <c r="T50" s="53" t="str">
        <f t="shared" si="18"/>
        <v>Anno 19</v>
      </c>
      <c r="U50" s="53" t="str">
        <f t="shared" si="18"/>
        <v>Anno 20</v>
      </c>
      <c r="V50" s="53" t="str">
        <f t="shared" si="18"/>
        <v>Anno 21</v>
      </c>
      <c r="W50" s="53" t="str">
        <f t="shared" si="18"/>
        <v>Anno 22</v>
      </c>
      <c r="X50" s="53" t="str">
        <f t="shared" si="18"/>
        <v>Anno 23</v>
      </c>
      <c r="Y50" s="53" t="str">
        <f t="shared" si="18"/>
        <v>Anno 24</v>
      </c>
      <c r="Z50" s="53" t="str">
        <f t="shared" si="18"/>
        <v>Anno 25</v>
      </c>
      <c r="AA50" s="53" t="str">
        <f t="shared" si="18"/>
        <v>Anno 26</v>
      </c>
      <c r="AB50" s="53" t="str">
        <f t="shared" si="18"/>
        <v>Anno 27</v>
      </c>
      <c r="AC50" s="53" t="str">
        <f t="shared" si="18"/>
        <v>Anno 28</v>
      </c>
      <c r="AD50" s="53" t="str">
        <f t="shared" si="18"/>
        <v>Anno 29</v>
      </c>
      <c r="AE50" s="53" t="str">
        <f t="shared" si="18"/>
        <v>Anno 30</v>
      </c>
      <c r="AF50" s="53" t="str">
        <f t="shared" si="18"/>
        <v>Anno 31</v>
      </c>
      <c r="AG50" s="53" t="str">
        <f t="shared" si="18"/>
        <v>Anno 32</v>
      </c>
      <c r="AH50" s="53" t="str">
        <f t="shared" si="18"/>
        <v>Anno 33</v>
      </c>
      <c r="AI50" s="145" t="str">
        <f t="shared" si="18"/>
        <v>Anno 34</v>
      </c>
    </row>
    <row r="51" spans="1:35">
      <c r="A51" s="140" t="s">
        <v>26</v>
      </c>
      <c r="E51" s="133">
        <f>E45</f>
        <v>0</v>
      </c>
      <c r="F51" s="38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148"/>
    </row>
    <row r="52" spans="1:35">
      <c r="A52" s="140" t="s">
        <v>3</v>
      </c>
      <c r="E52" s="38">
        <f t="shared" ref="E52:AI52" si="19">IF(E43&lt;=$E47,(PMT($E46,$E47,$E45)),0)</f>
        <v>0</v>
      </c>
      <c r="F52" s="38">
        <f t="shared" si="19"/>
        <v>0</v>
      </c>
      <c r="G52" s="38">
        <f t="shared" si="19"/>
        <v>0</v>
      </c>
      <c r="H52" s="38">
        <f t="shared" si="19"/>
        <v>0</v>
      </c>
      <c r="I52" s="38">
        <f t="shared" si="19"/>
        <v>0</v>
      </c>
      <c r="J52" s="38">
        <f t="shared" si="19"/>
        <v>0</v>
      </c>
      <c r="K52" s="38">
        <f t="shared" si="19"/>
        <v>0</v>
      </c>
      <c r="L52" s="38">
        <f t="shared" si="19"/>
        <v>0</v>
      </c>
      <c r="M52" s="38">
        <f t="shared" si="19"/>
        <v>0</v>
      </c>
      <c r="N52" s="38">
        <f t="shared" si="19"/>
        <v>0</v>
      </c>
      <c r="O52" s="38">
        <f t="shared" si="19"/>
        <v>0</v>
      </c>
      <c r="P52" s="38">
        <f t="shared" si="19"/>
        <v>0</v>
      </c>
      <c r="Q52" s="38">
        <f t="shared" si="19"/>
        <v>0</v>
      </c>
      <c r="R52" s="38">
        <f t="shared" si="19"/>
        <v>0</v>
      </c>
      <c r="S52" s="38">
        <f t="shared" si="19"/>
        <v>0</v>
      </c>
      <c r="T52" s="38">
        <f t="shared" si="19"/>
        <v>0</v>
      </c>
      <c r="U52" s="38">
        <f t="shared" si="19"/>
        <v>0</v>
      </c>
      <c r="V52" s="38">
        <f t="shared" si="19"/>
        <v>0</v>
      </c>
      <c r="W52" s="38">
        <f t="shared" si="19"/>
        <v>0</v>
      </c>
      <c r="X52" s="38">
        <f t="shared" si="19"/>
        <v>0</v>
      </c>
      <c r="Y52" s="38">
        <f t="shared" si="19"/>
        <v>0</v>
      </c>
      <c r="Z52" s="38">
        <f t="shared" si="19"/>
        <v>0</v>
      </c>
      <c r="AA52" s="38">
        <f t="shared" si="19"/>
        <v>0</v>
      </c>
      <c r="AB52" s="38">
        <f t="shared" si="19"/>
        <v>0</v>
      </c>
      <c r="AC52" s="38">
        <f t="shared" si="19"/>
        <v>0</v>
      </c>
      <c r="AD52" s="38">
        <f t="shared" si="19"/>
        <v>0</v>
      </c>
      <c r="AE52" s="38">
        <f t="shared" si="19"/>
        <v>0</v>
      </c>
      <c r="AF52" s="38">
        <f t="shared" si="19"/>
        <v>0</v>
      </c>
      <c r="AG52" s="38">
        <f t="shared" si="19"/>
        <v>0</v>
      </c>
      <c r="AH52" s="38">
        <f t="shared" si="19"/>
        <v>0</v>
      </c>
      <c r="AI52" s="146">
        <f t="shared" si="19"/>
        <v>0</v>
      </c>
    </row>
    <row r="53" spans="1:35">
      <c r="A53" s="147" t="s">
        <v>5</v>
      </c>
      <c r="E53" s="39">
        <f t="shared" ref="E53:AI53" si="20">E52-E54</f>
        <v>0</v>
      </c>
      <c r="F53" s="39">
        <f t="shared" si="20"/>
        <v>0</v>
      </c>
      <c r="G53" s="39">
        <f t="shared" si="20"/>
        <v>0</v>
      </c>
      <c r="H53" s="39">
        <f t="shared" si="20"/>
        <v>0</v>
      </c>
      <c r="I53" s="39">
        <f t="shared" si="20"/>
        <v>0</v>
      </c>
      <c r="J53" s="39">
        <f t="shared" si="20"/>
        <v>0</v>
      </c>
      <c r="K53" s="39">
        <f t="shared" si="20"/>
        <v>0</v>
      </c>
      <c r="L53" s="39">
        <f t="shared" si="20"/>
        <v>0</v>
      </c>
      <c r="M53" s="39">
        <f t="shared" si="20"/>
        <v>0</v>
      </c>
      <c r="N53" s="39">
        <f t="shared" si="20"/>
        <v>0</v>
      </c>
      <c r="O53" s="39">
        <f t="shared" si="20"/>
        <v>0</v>
      </c>
      <c r="P53" s="39">
        <f t="shared" si="20"/>
        <v>0</v>
      </c>
      <c r="Q53" s="39">
        <f t="shared" si="20"/>
        <v>0</v>
      </c>
      <c r="R53" s="39">
        <f t="shared" si="20"/>
        <v>0</v>
      </c>
      <c r="S53" s="39">
        <f t="shared" si="20"/>
        <v>0</v>
      </c>
      <c r="T53" s="39">
        <f t="shared" si="20"/>
        <v>0</v>
      </c>
      <c r="U53" s="39">
        <f t="shared" si="20"/>
        <v>0</v>
      </c>
      <c r="V53" s="39">
        <f t="shared" si="20"/>
        <v>0</v>
      </c>
      <c r="W53" s="39">
        <f t="shared" si="20"/>
        <v>0</v>
      </c>
      <c r="X53" s="39">
        <f t="shared" si="20"/>
        <v>0</v>
      </c>
      <c r="Y53" s="39">
        <f t="shared" si="20"/>
        <v>0</v>
      </c>
      <c r="Z53" s="39">
        <f t="shared" si="20"/>
        <v>0</v>
      </c>
      <c r="AA53" s="39">
        <f t="shared" si="20"/>
        <v>0</v>
      </c>
      <c r="AB53" s="39">
        <f t="shared" si="20"/>
        <v>0</v>
      </c>
      <c r="AC53" s="39">
        <f t="shared" si="20"/>
        <v>0</v>
      </c>
      <c r="AD53" s="39">
        <f t="shared" si="20"/>
        <v>0</v>
      </c>
      <c r="AE53" s="39">
        <f t="shared" si="20"/>
        <v>0</v>
      </c>
      <c r="AF53" s="39">
        <f t="shared" si="20"/>
        <v>0</v>
      </c>
      <c r="AG53" s="39">
        <f t="shared" si="20"/>
        <v>0</v>
      </c>
      <c r="AH53" s="39">
        <f t="shared" si="20"/>
        <v>0</v>
      </c>
      <c r="AI53" s="148">
        <f t="shared" si="20"/>
        <v>0</v>
      </c>
    </row>
    <row r="54" spans="1:35">
      <c r="A54" s="147" t="s">
        <v>27</v>
      </c>
      <c r="E54" s="39">
        <f>IF($E47&gt;E49,(IF((IPMT(B$4,1,$E47,$E45))&lt;0,(IPMT($E46,1,$E47,$E45)),0)),0)</f>
        <v>0</v>
      </c>
      <c r="F54" s="39">
        <f t="shared" ref="F54:AI54" si="21">IF($E47&gt;F49,(IF((IPMT($E46,1,(($E47)-F49),E55))&lt;0,(IPMT($E46,1,(($E47)-F49),E55)),0)),0)</f>
        <v>0</v>
      </c>
      <c r="G54" s="39">
        <f t="shared" si="21"/>
        <v>0</v>
      </c>
      <c r="H54" s="39">
        <f t="shared" si="21"/>
        <v>0</v>
      </c>
      <c r="I54" s="39">
        <f t="shared" si="21"/>
        <v>0</v>
      </c>
      <c r="J54" s="39">
        <f t="shared" si="21"/>
        <v>0</v>
      </c>
      <c r="K54" s="39">
        <f t="shared" si="21"/>
        <v>0</v>
      </c>
      <c r="L54" s="39">
        <f t="shared" si="21"/>
        <v>0</v>
      </c>
      <c r="M54" s="39">
        <f t="shared" si="21"/>
        <v>0</v>
      </c>
      <c r="N54" s="39">
        <f t="shared" si="21"/>
        <v>0</v>
      </c>
      <c r="O54" s="39">
        <f t="shared" si="21"/>
        <v>0</v>
      </c>
      <c r="P54" s="39">
        <f t="shared" si="21"/>
        <v>0</v>
      </c>
      <c r="Q54" s="39">
        <f t="shared" si="21"/>
        <v>0</v>
      </c>
      <c r="R54" s="39">
        <f t="shared" si="21"/>
        <v>0</v>
      </c>
      <c r="S54" s="39">
        <f t="shared" si="21"/>
        <v>0</v>
      </c>
      <c r="T54" s="39">
        <f t="shared" si="21"/>
        <v>0</v>
      </c>
      <c r="U54" s="39">
        <f t="shared" si="21"/>
        <v>0</v>
      </c>
      <c r="V54" s="39">
        <f t="shared" si="21"/>
        <v>0</v>
      </c>
      <c r="W54" s="39">
        <f t="shared" si="21"/>
        <v>0</v>
      </c>
      <c r="X54" s="39">
        <f t="shared" si="21"/>
        <v>0</v>
      </c>
      <c r="Y54" s="39">
        <f t="shared" si="21"/>
        <v>0</v>
      </c>
      <c r="Z54" s="39">
        <f t="shared" si="21"/>
        <v>0</v>
      </c>
      <c r="AA54" s="39">
        <f t="shared" si="21"/>
        <v>0</v>
      </c>
      <c r="AB54" s="39">
        <f t="shared" si="21"/>
        <v>0</v>
      </c>
      <c r="AC54" s="39">
        <f t="shared" si="21"/>
        <v>0</v>
      </c>
      <c r="AD54" s="39">
        <f t="shared" si="21"/>
        <v>0</v>
      </c>
      <c r="AE54" s="39">
        <f t="shared" si="21"/>
        <v>0</v>
      </c>
      <c r="AF54" s="39">
        <f t="shared" si="21"/>
        <v>0</v>
      </c>
      <c r="AG54" s="39">
        <f t="shared" si="21"/>
        <v>0</v>
      </c>
      <c r="AH54" s="39">
        <f t="shared" si="21"/>
        <v>0</v>
      </c>
      <c r="AI54" s="148">
        <f t="shared" si="21"/>
        <v>0</v>
      </c>
    </row>
    <row r="55" spans="1:35">
      <c r="A55" s="149" t="s">
        <v>28</v>
      </c>
      <c r="B55" s="152"/>
      <c r="C55" s="152"/>
      <c r="D55" s="152"/>
      <c r="E55" s="150">
        <f>E51+E53</f>
        <v>0</v>
      </c>
      <c r="F55" s="150">
        <f>E55+F53</f>
        <v>0</v>
      </c>
      <c r="G55" s="150">
        <f t="shared" ref="G55:AI55" si="22">F55+G53</f>
        <v>0</v>
      </c>
      <c r="H55" s="150">
        <f t="shared" si="22"/>
        <v>0</v>
      </c>
      <c r="I55" s="150">
        <f t="shared" si="22"/>
        <v>0</v>
      </c>
      <c r="J55" s="150">
        <f t="shared" si="22"/>
        <v>0</v>
      </c>
      <c r="K55" s="150">
        <f t="shared" si="22"/>
        <v>0</v>
      </c>
      <c r="L55" s="150">
        <f t="shared" si="22"/>
        <v>0</v>
      </c>
      <c r="M55" s="150">
        <f t="shared" si="22"/>
        <v>0</v>
      </c>
      <c r="N55" s="150">
        <f t="shared" si="22"/>
        <v>0</v>
      </c>
      <c r="O55" s="150">
        <f t="shared" si="22"/>
        <v>0</v>
      </c>
      <c r="P55" s="150">
        <f t="shared" si="22"/>
        <v>0</v>
      </c>
      <c r="Q55" s="150">
        <f t="shared" si="22"/>
        <v>0</v>
      </c>
      <c r="R55" s="150">
        <f t="shared" si="22"/>
        <v>0</v>
      </c>
      <c r="S55" s="150">
        <f t="shared" si="22"/>
        <v>0</v>
      </c>
      <c r="T55" s="150">
        <f t="shared" si="22"/>
        <v>0</v>
      </c>
      <c r="U55" s="150">
        <f t="shared" si="22"/>
        <v>0</v>
      </c>
      <c r="V55" s="150">
        <f t="shared" si="22"/>
        <v>0</v>
      </c>
      <c r="W55" s="150">
        <f t="shared" si="22"/>
        <v>0</v>
      </c>
      <c r="X55" s="150">
        <f t="shared" si="22"/>
        <v>0</v>
      </c>
      <c r="Y55" s="150">
        <f t="shared" si="22"/>
        <v>0</v>
      </c>
      <c r="Z55" s="150">
        <f t="shared" si="22"/>
        <v>0</v>
      </c>
      <c r="AA55" s="150">
        <f t="shared" si="22"/>
        <v>0</v>
      </c>
      <c r="AB55" s="150">
        <f t="shared" si="22"/>
        <v>0</v>
      </c>
      <c r="AC55" s="150">
        <f t="shared" si="22"/>
        <v>0</v>
      </c>
      <c r="AD55" s="150">
        <f t="shared" si="22"/>
        <v>0</v>
      </c>
      <c r="AE55" s="150">
        <f t="shared" si="22"/>
        <v>0</v>
      </c>
      <c r="AF55" s="150">
        <f t="shared" si="22"/>
        <v>0</v>
      </c>
      <c r="AG55" s="150">
        <f t="shared" si="22"/>
        <v>0</v>
      </c>
      <c r="AH55" s="150">
        <f t="shared" si="22"/>
        <v>0</v>
      </c>
      <c r="AI55" s="151">
        <f t="shared" si="22"/>
        <v>0</v>
      </c>
    </row>
    <row r="57" spans="1:35" ht="28.5">
      <c r="A57" s="136" t="s">
        <v>31</v>
      </c>
      <c r="B57" s="153" t="str">
        <f>B8</f>
        <v>Anno 1</v>
      </c>
      <c r="C57" s="153" t="str">
        <f t="shared" ref="C57:AI57" si="23">C8</f>
        <v>Anno 2</v>
      </c>
      <c r="D57" s="153" t="str">
        <f t="shared" si="23"/>
        <v>Anno 3</v>
      </c>
      <c r="E57" s="153" t="str">
        <f t="shared" si="23"/>
        <v>Anno 4</v>
      </c>
      <c r="F57" s="153" t="str">
        <f t="shared" si="23"/>
        <v>Anno 5</v>
      </c>
      <c r="G57" s="153" t="str">
        <f t="shared" si="23"/>
        <v>Anno 6</v>
      </c>
      <c r="H57" s="153" t="str">
        <f t="shared" si="23"/>
        <v>Anno 7</v>
      </c>
      <c r="I57" s="153" t="str">
        <f t="shared" si="23"/>
        <v>Anno 8</v>
      </c>
      <c r="J57" s="153" t="str">
        <f t="shared" si="23"/>
        <v>Anno 9</v>
      </c>
      <c r="K57" s="153" t="str">
        <f t="shared" si="23"/>
        <v>Anno 10</v>
      </c>
      <c r="L57" s="153" t="str">
        <f t="shared" si="23"/>
        <v>Anno 11</v>
      </c>
      <c r="M57" s="153" t="str">
        <f t="shared" si="23"/>
        <v>Anno 12</v>
      </c>
      <c r="N57" s="153" t="str">
        <f t="shared" si="23"/>
        <v>Anno 13</v>
      </c>
      <c r="O57" s="153" t="str">
        <f t="shared" si="23"/>
        <v>Anno 14</v>
      </c>
      <c r="P57" s="153" t="str">
        <f t="shared" si="23"/>
        <v>Anno 15</v>
      </c>
      <c r="Q57" s="153" t="str">
        <f t="shared" si="23"/>
        <v>Anno 16</v>
      </c>
      <c r="R57" s="153" t="str">
        <f t="shared" si="23"/>
        <v>Anno 17</v>
      </c>
      <c r="S57" s="153" t="str">
        <f t="shared" si="23"/>
        <v>Anno 18</v>
      </c>
      <c r="T57" s="153" t="str">
        <f t="shared" si="23"/>
        <v>Anno 19</v>
      </c>
      <c r="U57" s="153" t="str">
        <f t="shared" si="23"/>
        <v>Anno 20</v>
      </c>
      <c r="V57" s="153" t="str">
        <f t="shared" si="23"/>
        <v>Anno 21</v>
      </c>
      <c r="W57" s="153" t="str">
        <f t="shared" si="23"/>
        <v>Anno 22</v>
      </c>
      <c r="X57" s="153" t="str">
        <f t="shared" si="23"/>
        <v>Anno 23</v>
      </c>
      <c r="Y57" s="153" t="str">
        <f t="shared" si="23"/>
        <v>Anno 24</v>
      </c>
      <c r="Z57" s="153" t="str">
        <f t="shared" si="23"/>
        <v>Anno 25</v>
      </c>
      <c r="AA57" s="153" t="str">
        <f t="shared" si="23"/>
        <v>Anno 26</v>
      </c>
      <c r="AB57" s="153" t="str">
        <f t="shared" si="23"/>
        <v>Anno 27</v>
      </c>
      <c r="AC57" s="153" t="str">
        <f t="shared" si="23"/>
        <v>Anno 28</v>
      </c>
      <c r="AD57" s="153" t="str">
        <f t="shared" si="23"/>
        <v>Anno 29</v>
      </c>
      <c r="AE57" s="153" t="str">
        <f t="shared" si="23"/>
        <v>Anno 30</v>
      </c>
      <c r="AF57" s="153" t="str">
        <f t="shared" si="23"/>
        <v>Anno 31</v>
      </c>
      <c r="AG57" s="153" t="str">
        <f t="shared" si="23"/>
        <v>Anno 32</v>
      </c>
      <c r="AH57" s="153" t="str">
        <f t="shared" si="23"/>
        <v>Anno 33</v>
      </c>
      <c r="AI57" s="154" t="str">
        <f t="shared" si="23"/>
        <v>Anno 34</v>
      </c>
    </row>
    <row r="58" spans="1:35">
      <c r="A58" s="140" t="s">
        <v>33</v>
      </c>
      <c r="B58" s="38">
        <f t="shared" ref="B58:AI58" si="24">B9+B23+B37+B51</f>
        <v>0</v>
      </c>
      <c r="C58" s="38">
        <f t="shared" si="24"/>
        <v>0</v>
      </c>
      <c r="D58" s="38">
        <f t="shared" si="24"/>
        <v>0</v>
      </c>
      <c r="E58" s="38">
        <f t="shared" si="24"/>
        <v>0</v>
      </c>
      <c r="F58" s="38">
        <f t="shared" si="24"/>
        <v>0</v>
      </c>
      <c r="G58" s="38">
        <f t="shared" si="24"/>
        <v>0</v>
      </c>
      <c r="H58" s="38">
        <f t="shared" si="24"/>
        <v>0</v>
      </c>
      <c r="I58" s="38">
        <f t="shared" si="24"/>
        <v>0</v>
      </c>
      <c r="J58" s="38">
        <f t="shared" si="24"/>
        <v>0</v>
      </c>
      <c r="K58" s="38">
        <f t="shared" si="24"/>
        <v>0</v>
      </c>
      <c r="L58" s="38">
        <f t="shared" si="24"/>
        <v>0</v>
      </c>
      <c r="M58" s="38">
        <f t="shared" si="24"/>
        <v>0</v>
      </c>
      <c r="N58" s="38">
        <f t="shared" si="24"/>
        <v>0</v>
      </c>
      <c r="O58" s="38">
        <f t="shared" si="24"/>
        <v>0</v>
      </c>
      <c r="P58" s="38">
        <f t="shared" si="24"/>
        <v>0</v>
      </c>
      <c r="Q58" s="38">
        <f t="shared" si="24"/>
        <v>0</v>
      </c>
      <c r="R58" s="38">
        <f t="shared" si="24"/>
        <v>0</v>
      </c>
      <c r="S58" s="38">
        <f t="shared" si="24"/>
        <v>0</v>
      </c>
      <c r="T58" s="38">
        <f t="shared" si="24"/>
        <v>0</v>
      </c>
      <c r="U58" s="38">
        <f t="shared" si="24"/>
        <v>0</v>
      </c>
      <c r="V58" s="38">
        <f t="shared" si="24"/>
        <v>0</v>
      </c>
      <c r="W58" s="38">
        <f t="shared" si="24"/>
        <v>0</v>
      </c>
      <c r="X58" s="38">
        <f t="shared" si="24"/>
        <v>0</v>
      </c>
      <c r="Y58" s="38">
        <f t="shared" si="24"/>
        <v>0</v>
      </c>
      <c r="Z58" s="38">
        <f t="shared" si="24"/>
        <v>0</v>
      </c>
      <c r="AA58" s="38">
        <f t="shared" si="24"/>
        <v>0</v>
      </c>
      <c r="AB58" s="38">
        <f t="shared" si="24"/>
        <v>0</v>
      </c>
      <c r="AC58" s="38">
        <f t="shared" si="24"/>
        <v>0</v>
      </c>
      <c r="AD58" s="38">
        <f t="shared" si="24"/>
        <v>0</v>
      </c>
      <c r="AE58" s="38">
        <f t="shared" si="24"/>
        <v>0</v>
      </c>
      <c r="AF58" s="38">
        <f t="shared" si="24"/>
        <v>0</v>
      </c>
      <c r="AG58" s="38">
        <f t="shared" si="24"/>
        <v>0</v>
      </c>
      <c r="AH58" s="38">
        <f t="shared" si="24"/>
        <v>0</v>
      </c>
      <c r="AI58" s="146">
        <f t="shared" si="24"/>
        <v>0</v>
      </c>
    </row>
    <row r="59" spans="1:35">
      <c r="A59" s="140" t="s">
        <v>32</v>
      </c>
      <c r="B59" s="38">
        <f t="shared" ref="B59:AI59" si="25">B10+B24+B38+B52</f>
        <v>0</v>
      </c>
      <c r="C59" s="38">
        <f t="shared" si="25"/>
        <v>0</v>
      </c>
      <c r="D59" s="38">
        <f t="shared" si="25"/>
        <v>0</v>
      </c>
      <c r="E59" s="38">
        <f t="shared" si="25"/>
        <v>0</v>
      </c>
      <c r="F59" s="38">
        <f t="shared" si="25"/>
        <v>0</v>
      </c>
      <c r="G59" s="38">
        <f t="shared" si="25"/>
        <v>0</v>
      </c>
      <c r="H59" s="38">
        <f t="shared" si="25"/>
        <v>0</v>
      </c>
      <c r="I59" s="38">
        <f t="shared" si="25"/>
        <v>0</v>
      </c>
      <c r="J59" s="38">
        <f t="shared" si="25"/>
        <v>0</v>
      </c>
      <c r="K59" s="38">
        <f t="shared" si="25"/>
        <v>0</v>
      </c>
      <c r="L59" s="38">
        <f t="shared" si="25"/>
        <v>0</v>
      </c>
      <c r="M59" s="38">
        <f t="shared" si="25"/>
        <v>0</v>
      </c>
      <c r="N59" s="38">
        <f t="shared" si="25"/>
        <v>0</v>
      </c>
      <c r="O59" s="38">
        <f t="shared" si="25"/>
        <v>0</v>
      </c>
      <c r="P59" s="38">
        <f t="shared" si="25"/>
        <v>0</v>
      </c>
      <c r="Q59" s="38">
        <f t="shared" si="25"/>
        <v>0</v>
      </c>
      <c r="R59" s="38">
        <f t="shared" si="25"/>
        <v>0</v>
      </c>
      <c r="S59" s="38">
        <f t="shared" si="25"/>
        <v>0</v>
      </c>
      <c r="T59" s="38">
        <f t="shared" si="25"/>
        <v>0</v>
      </c>
      <c r="U59" s="38">
        <f t="shared" si="25"/>
        <v>0</v>
      </c>
      <c r="V59" s="38">
        <f t="shared" si="25"/>
        <v>0</v>
      </c>
      <c r="W59" s="38">
        <f t="shared" si="25"/>
        <v>0</v>
      </c>
      <c r="X59" s="38">
        <f t="shared" si="25"/>
        <v>0</v>
      </c>
      <c r="Y59" s="38">
        <f t="shared" si="25"/>
        <v>0</v>
      </c>
      <c r="Z59" s="38">
        <f t="shared" si="25"/>
        <v>0</v>
      </c>
      <c r="AA59" s="38">
        <f t="shared" si="25"/>
        <v>0</v>
      </c>
      <c r="AB59" s="38">
        <f t="shared" si="25"/>
        <v>0</v>
      </c>
      <c r="AC59" s="38">
        <f t="shared" si="25"/>
        <v>0</v>
      </c>
      <c r="AD59" s="38">
        <f t="shared" si="25"/>
        <v>0</v>
      </c>
      <c r="AE59" s="38">
        <f t="shared" si="25"/>
        <v>0</v>
      </c>
      <c r="AF59" s="38">
        <f t="shared" si="25"/>
        <v>0</v>
      </c>
      <c r="AG59" s="38">
        <f t="shared" si="25"/>
        <v>0</v>
      </c>
      <c r="AH59" s="38">
        <f t="shared" si="25"/>
        <v>0</v>
      </c>
      <c r="AI59" s="146">
        <f t="shared" si="25"/>
        <v>0</v>
      </c>
    </row>
    <row r="60" spans="1:35">
      <c r="A60" s="140" t="s">
        <v>36</v>
      </c>
      <c r="B60" s="38">
        <f t="shared" ref="B60:AI60" si="26">B11+B25+B39+B53</f>
        <v>0</v>
      </c>
      <c r="C60" s="38">
        <f t="shared" si="26"/>
        <v>0</v>
      </c>
      <c r="D60" s="38">
        <f t="shared" si="26"/>
        <v>0</v>
      </c>
      <c r="E60" s="38">
        <f t="shared" si="26"/>
        <v>0</v>
      </c>
      <c r="F60" s="38">
        <f t="shared" si="26"/>
        <v>0</v>
      </c>
      <c r="G60" s="38">
        <f t="shared" si="26"/>
        <v>0</v>
      </c>
      <c r="H60" s="38">
        <f t="shared" si="26"/>
        <v>0</v>
      </c>
      <c r="I60" s="38">
        <f t="shared" si="26"/>
        <v>0</v>
      </c>
      <c r="J60" s="38">
        <f t="shared" si="26"/>
        <v>0</v>
      </c>
      <c r="K60" s="38">
        <f t="shared" si="26"/>
        <v>0</v>
      </c>
      <c r="L60" s="38">
        <f t="shared" si="26"/>
        <v>0</v>
      </c>
      <c r="M60" s="38">
        <f t="shared" si="26"/>
        <v>0</v>
      </c>
      <c r="N60" s="38">
        <f t="shared" si="26"/>
        <v>0</v>
      </c>
      <c r="O60" s="38">
        <f t="shared" si="26"/>
        <v>0</v>
      </c>
      <c r="P60" s="38">
        <f t="shared" si="26"/>
        <v>0</v>
      </c>
      <c r="Q60" s="38">
        <f t="shared" si="26"/>
        <v>0</v>
      </c>
      <c r="R60" s="38">
        <f t="shared" si="26"/>
        <v>0</v>
      </c>
      <c r="S60" s="38">
        <f t="shared" si="26"/>
        <v>0</v>
      </c>
      <c r="T60" s="38">
        <f t="shared" si="26"/>
        <v>0</v>
      </c>
      <c r="U60" s="38">
        <f t="shared" si="26"/>
        <v>0</v>
      </c>
      <c r="V60" s="38">
        <f t="shared" si="26"/>
        <v>0</v>
      </c>
      <c r="W60" s="38">
        <f t="shared" si="26"/>
        <v>0</v>
      </c>
      <c r="X60" s="38">
        <f t="shared" si="26"/>
        <v>0</v>
      </c>
      <c r="Y60" s="38">
        <f t="shared" si="26"/>
        <v>0</v>
      </c>
      <c r="Z60" s="38">
        <f t="shared" si="26"/>
        <v>0</v>
      </c>
      <c r="AA60" s="38">
        <f t="shared" si="26"/>
        <v>0</v>
      </c>
      <c r="AB60" s="38">
        <f t="shared" si="26"/>
        <v>0</v>
      </c>
      <c r="AC60" s="38">
        <f t="shared" si="26"/>
        <v>0</v>
      </c>
      <c r="AD60" s="38">
        <f t="shared" si="26"/>
        <v>0</v>
      </c>
      <c r="AE60" s="38">
        <f t="shared" si="26"/>
        <v>0</v>
      </c>
      <c r="AF60" s="38">
        <f t="shared" si="26"/>
        <v>0</v>
      </c>
      <c r="AG60" s="38">
        <f t="shared" si="26"/>
        <v>0</v>
      </c>
      <c r="AH60" s="38">
        <f t="shared" si="26"/>
        <v>0</v>
      </c>
      <c r="AI60" s="146">
        <f t="shared" si="26"/>
        <v>0</v>
      </c>
    </row>
    <row r="61" spans="1:35">
      <c r="A61" s="140" t="s">
        <v>4</v>
      </c>
      <c r="B61" s="38">
        <f t="shared" ref="B61:AI61" si="27">B12+B26+B40+B54</f>
        <v>0</v>
      </c>
      <c r="C61" s="38">
        <f t="shared" si="27"/>
        <v>0</v>
      </c>
      <c r="D61" s="38">
        <f t="shared" si="27"/>
        <v>0</v>
      </c>
      <c r="E61" s="38">
        <f t="shared" si="27"/>
        <v>0</v>
      </c>
      <c r="F61" s="38">
        <f t="shared" si="27"/>
        <v>0</v>
      </c>
      <c r="G61" s="38">
        <f t="shared" si="27"/>
        <v>0</v>
      </c>
      <c r="H61" s="38">
        <f t="shared" si="27"/>
        <v>0</v>
      </c>
      <c r="I61" s="38">
        <f t="shared" si="27"/>
        <v>0</v>
      </c>
      <c r="J61" s="38">
        <f t="shared" si="27"/>
        <v>0</v>
      </c>
      <c r="K61" s="38">
        <f t="shared" si="27"/>
        <v>0</v>
      </c>
      <c r="L61" s="38">
        <f t="shared" si="27"/>
        <v>0</v>
      </c>
      <c r="M61" s="38">
        <f t="shared" si="27"/>
        <v>0</v>
      </c>
      <c r="N61" s="38">
        <f t="shared" si="27"/>
        <v>0</v>
      </c>
      <c r="O61" s="38">
        <f t="shared" si="27"/>
        <v>0</v>
      </c>
      <c r="P61" s="38">
        <f t="shared" si="27"/>
        <v>0</v>
      </c>
      <c r="Q61" s="38">
        <f t="shared" si="27"/>
        <v>0</v>
      </c>
      <c r="R61" s="38">
        <f t="shared" si="27"/>
        <v>0</v>
      </c>
      <c r="S61" s="38">
        <f t="shared" si="27"/>
        <v>0</v>
      </c>
      <c r="T61" s="38">
        <f t="shared" si="27"/>
        <v>0</v>
      </c>
      <c r="U61" s="38">
        <f t="shared" si="27"/>
        <v>0</v>
      </c>
      <c r="V61" s="38">
        <f t="shared" si="27"/>
        <v>0</v>
      </c>
      <c r="W61" s="38">
        <f t="shared" si="27"/>
        <v>0</v>
      </c>
      <c r="X61" s="38">
        <f t="shared" si="27"/>
        <v>0</v>
      </c>
      <c r="Y61" s="38">
        <f t="shared" si="27"/>
        <v>0</v>
      </c>
      <c r="Z61" s="38">
        <f t="shared" si="27"/>
        <v>0</v>
      </c>
      <c r="AA61" s="38">
        <f t="shared" si="27"/>
        <v>0</v>
      </c>
      <c r="AB61" s="38">
        <f t="shared" si="27"/>
        <v>0</v>
      </c>
      <c r="AC61" s="38">
        <f t="shared" si="27"/>
        <v>0</v>
      </c>
      <c r="AD61" s="38">
        <f t="shared" si="27"/>
        <v>0</v>
      </c>
      <c r="AE61" s="38">
        <f t="shared" si="27"/>
        <v>0</v>
      </c>
      <c r="AF61" s="38">
        <f t="shared" si="27"/>
        <v>0</v>
      </c>
      <c r="AG61" s="38">
        <f t="shared" si="27"/>
        <v>0</v>
      </c>
      <c r="AH61" s="38">
        <f t="shared" si="27"/>
        <v>0</v>
      </c>
      <c r="AI61" s="146">
        <f t="shared" si="27"/>
        <v>0</v>
      </c>
    </row>
    <row r="62" spans="1:35">
      <c r="A62" s="149" t="s">
        <v>28</v>
      </c>
      <c r="B62" s="155">
        <f t="shared" ref="B62:AI62" si="28">B13+B27+B41+B55</f>
        <v>0</v>
      </c>
      <c r="C62" s="155">
        <f t="shared" si="28"/>
        <v>0</v>
      </c>
      <c r="D62" s="155">
        <f t="shared" si="28"/>
        <v>0</v>
      </c>
      <c r="E62" s="155">
        <f t="shared" si="28"/>
        <v>0</v>
      </c>
      <c r="F62" s="155">
        <f t="shared" si="28"/>
        <v>0</v>
      </c>
      <c r="G62" s="155">
        <f t="shared" si="28"/>
        <v>0</v>
      </c>
      <c r="H62" s="155">
        <f t="shared" si="28"/>
        <v>0</v>
      </c>
      <c r="I62" s="155">
        <f t="shared" si="28"/>
        <v>0</v>
      </c>
      <c r="J62" s="155">
        <f t="shared" si="28"/>
        <v>0</v>
      </c>
      <c r="K62" s="155">
        <f t="shared" si="28"/>
        <v>0</v>
      </c>
      <c r="L62" s="155">
        <f t="shared" si="28"/>
        <v>0</v>
      </c>
      <c r="M62" s="155">
        <f t="shared" si="28"/>
        <v>0</v>
      </c>
      <c r="N62" s="155">
        <f t="shared" si="28"/>
        <v>0</v>
      </c>
      <c r="O62" s="155">
        <f t="shared" si="28"/>
        <v>0</v>
      </c>
      <c r="P62" s="155">
        <f t="shared" si="28"/>
        <v>0</v>
      </c>
      <c r="Q62" s="155">
        <f t="shared" si="28"/>
        <v>0</v>
      </c>
      <c r="R62" s="155">
        <f t="shared" si="28"/>
        <v>0</v>
      </c>
      <c r="S62" s="155">
        <f t="shared" si="28"/>
        <v>0</v>
      </c>
      <c r="T62" s="155">
        <f t="shared" si="28"/>
        <v>0</v>
      </c>
      <c r="U62" s="155">
        <f t="shared" si="28"/>
        <v>0</v>
      </c>
      <c r="V62" s="155">
        <f t="shared" si="28"/>
        <v>0</v>
      </c>
      <c r="W62" s="155">
        <f t="shared" si="28"/>
        <v>0</v>
      </c>
      <c r="X62" s="155">
        <f t="shared" si="28"/>
        <v>0</v>
      </c>
      <c r="Y62" s="155">
        <f t="shared" si="28"/>
        <v>0</v>
      </c>
      <c r="Z62" s="155">
        <f t="shared" si="28"/>
        <v>0</v>
      </c>
      <c r="AA62" s="155">
        <f t="shared" si="28"/>
        <v>0</v>
      </c>
      <c r="AB62" s="155">
        <f t="shared" si="28"/>
        <v>0</v>
      </c>
      <c r="AC62" s="155">
        <f t="shared" si="28"/>
        <v>0</v>
      </c>
      <c r="AD62" s="155">
        <f t="shared" si="28"/>
        <v>0</v>
      </c>
      <c r="AE62" s="155">
        <f t="shared" si="28"/>
        <v>0</v>
      </c>
      <c r="AF62" s="155">
        <f t="shared" si="28"/>
        <v>0</v>
      </c>
      <c r="AG62" s="155">
        <f t="shared" si="28"/>
        <v>0</v>
      </c>
      <c r="AH62" s="155">
        <f t="shared" si="28"/>
        <v>0</v>
      </c>
      <c r="AI62" s="156">
        <f t="shared" si="28"/>
        <v>0</v>
      </c>
    </row>
    <row r="63" spans="1:35"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</row>
    <row r="64" spans="1:35"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</row>
    <row r="65" spans="2:32"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</row>
    <row r="70" spans="2:32">
      <c r="D70" s="135"/>
    </row>
  </sheetData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72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EC6D-6E6F-CA48-8914-9403C250A602}">
  <sheetPr codeName="Foglio6">
    <pageSetUpPr fitToPage="1"/>
  </sheetPr>
  <dimension ref="A1:FD365"/>
  <sheetViews>
    <sheetView zoomScale="75" zoomScaleNormal="75" workbookViewId="0">
      <pane xSplit="2" ySplit="6" topLeftCell="U349" activePane="bottomRight" state="frozen"/>
      <selection pane="topRight" activeCell="C1" sqref="C1"/>
      <selection pane="bottomLeft" activeCell="A7" sqref="A7"/>
      <selection pane="bottomRight" activeCell="AJ360" sqref="AJ360"/>
    </sheetView>
  </sheetViews>
  <sheetFormatPr defaultColWidth="9.140625" defaultRowHeight="15"/>
  <cols>
    <col min="1" max="1" width="8" style="60" bestFit="1" customWidth="1"/>
    <col min="2" max="2" width="55.7109375" style="59" customWidth="1"/>
    <col min="3" max="3" width="9.42578125" style="61" customWidth="1"/>
    <col min="4" max="4" width="16.140625" style="62" bestFit="1" customWidth="1"/>
    <col min="5" max="5" width="16.140625" style="63" customWidth="1"/>
    <col min="6" max="7" width="14.140625" style="63" bestFit="1" customWidth="1"/>
    <col min="8" max="8" width="10.140625" style="63" bestFit="1" customWidth="1"/>
    <col min="9" max="9" width="10.42578125" style="63" bestFit="1" customWidth="1"/>
    <col min="10" max="10" width="10.85546875" style="66" bestFit="1" customWidth="1"/>
    <col min="11" max="11" width="10.42578125" style="66" bestFit="1" customWidth="1"/>
    <col min="12" max="14" width="10.140625" style="66" bestFit="1" customWidth="1"/>
    <col min="15" max="15" width="9.85546875" style="66" bestFit="1" customWidth="1"/>
    <col min="16" max="16" width="10.140625" style="66" bestFit="1" customWidth="1"/>
    <col min="17" max="17" width="9.85546875" style="67" bestFit="1" customWidth="1"/>
    <col min="18" max="36" width="10.42578125" style="59" bestFit="1" customWidth="1"/>
    <col min="37" max="37" width="32.42578125" style="59" bestFit="1" customWidth="1"/>
    <col min="38" max="38" width="9.85546875" style="59" bestFit="1" customWidth="1"/>
    <col min="39" max="16384" width="9.140625" style="59"/>
  </cols>
  <sheetData>
    <row r="1" spans="1:160">
      <c r="B1" s="59" t="s">
        <v>62</v>
      </c>
      <c r="G1" s="64"/>
      <c r="H1" s="64"/>
      <c r="I1" s="65"/>
    </row>
    <row r="2" spans="1:160" ht="10.5" customHeight="1"/>
    <row r="3" spans="1:160" ht="30">
      <c r="A3" s="68"/>
      <c r="B3" s="69" t="s">
        <v>143</v>
      </c>
      <c r="C3" s="49" t="s">
        <v>64</v>
      </c>
      <c r="D3" s="50" t="s">
        <v>65</v>
      </c>
      <c r="E3" s="275" t="s">
        <v>144</v>
      </c>
      <c r="F3" s="275" t="s">
        <v>145</v>
      </c>
      <c r="G3" s="275" t="s">
        <v>146</v>
      </c>
      <c r="H3" s="275" t="s">
        <v>147</v>
      </c>
      <c r="I3" s="275" t="s">
        <v>148</v>
      </c>
      <c r="J3" s="275" t="s">
        <v>149</v>
      </c>
      <c r="K3" s="275" t="s">
        <v>150</v>
      </c>
      <c r="L3" s="275" t="s">
        <v>151</v>
      </c>
      <c r="M3" s="275" t="s">
        <v>152</v>
      </c>
      <c r="N3" s="275" t="s">
        <v>153</v>
      </c>
      <c r="O3" s="275" t="s">
        <v>154</v>
      </c>
      <c r="P3" s="275" t="s">
        <v>155</v>
      </c>
      <c r="Q3" s="275" t="s">
        <v>156</v>
      </c>
      <c r="R3" s="275" t="s">
        <v>157</v>
      </c>
      <c r="S3" s="275" t="s">
        <v>158</v>
      </c>
      <c r="T3" s="275" t="s">
        <v>159</v>
      </c>
      <c r="U3" s="275" t="s">
        <v>160</v>
      </c>
      <c r="V3" s="275" t="s">
        <v>161</v>
      </c>
      <c r="W3" s="275" t="s">
        <v>162</v>
      </c>
      <c r="X3" s="275" t="s">
        <v>163</v>
      </c>
      <c r="Y3" s="275" t="s">
        <v>164</v>
      </c>
      <c r="Z3" s="275" t="s">
        <v>165</v>
      </c>
      <c r="AA3" s="275" t="s">
        <v>166</v>
      </c>
      <c r="AB3" s="275" t="s">
        <v>167</v>
      </c>
      <c r="AC3" s="275" t="s">
        <v>168</v>
      </c>
      <c r="AD3" s="275" t="s">
        <v>169</v>
      </c>
      <c r="AE3" s="275" t="s">
        <v>170</v>
      </c>
      <c r="AF3" s="275" t="s">
        <v>171</v>
      </c>
      <c r="AG3" s="275" t="s">
        <v>172</v>
      </c>
      <c r="AH3" s="275" t="s">
        <v>173</v>
      </c>
      <c r="AI3" s="275" t="s">
        <v>174</v>
      </c>
    </row>
    <row r="4" spans="1:160" ht="4.5" customHeight="1">
      <c r="AI4" s="70"/>
    </row>
    <row r="5" spans="1:160">
      <c r="B5" s="71" t="str">
        <f>+Ipotesi!$A$30</f>
        <v>Impianti</v>
      </c>
      <c r="C5" s="72">
        <f>+Ipotesi!$C$41</f>
        <v>0</v>
      </c>
      <c r="D5" s="73"/>
      <c r="E5" s="74">
        <f t="shared" ref="E5:AI5" si="0">IF($D5*$C5&gt;=D6,D6,$D5*$C5)</f>
        <v>0</v>
      </c>
      <c r="F5" s="75">
        <f t="shared" si="0"/>
        <v>0</v>
      </c>
      <c r="G5" s="75">
        <f t="shared" si="0"/>
        <v>0</v>
      </c>
      <c r="H5" s="75">
        <f t="shared" si="0"/>
        <v>0</v>
      </c>
      <c r="I5" s="75">
        <f t="shared" si="0"/>
        <v>0</v>
      </c>
      <c r="J5" s="75">
        <f t="shared" si="0"/>
        <v>0</v>
      </c>
      <c r="K5" s="75">
        <f t="shared" si="0"/>
        <v>0</v>
      </c>
      <c r="L5" s="75">
        <f t="shared" si="0"/>
        <v>0</v>
      </c>
      <c r="M5" s="75">
        <f t="shared" si="0"/>
        <v>0</v>
      </c>
      <c r="N5" s="75">
        <f t="shared" si="0"/>
        <v>0</v>
      </c>
      <c r="O5" s="75">
        <f t="shared" si="0"/>
        <v>0</v>
      </c>
      <c r="P5" s="75">
        <f t="shared" si="0"/>
        <v>0</v>
      </c>
      <c r="Q5" s="75">
        <f t="shared" si="0"/>
        <v>0</v>
      </c>
      <c r="R5" s="75">
        <f t="shared" si="0"/>
        <v>0</v>
      </c>
      <c r="S5" s="75">
        <f t="shared" si="0"/>
        <v>0</v>
      </c>
      <c r="T5" s="75">
        <f t="shared" si="0"/>
        <v>0</v>
      </c>
      <c r="U5" s="75">
        <f t="shared" si="0"/>
        <v>0</v>
      </c>
      <c r="V5" s="75">
        <f t="shared" si="0"/>
        <v>0</v>
      </c>
      <c r="W5" s="75">
        <f t="shared" si="0"/>
        <v>0</v>
      </c>
      <c r="X5" s="75">
        <f t="shared" si="0"/>
        <v>0</v>
      </c>
      <c r="Y5" s="75">
        <f t="shared" si="0"/>
        <v>0</v>
      </c>
      <c r="Z5" s="75">
        <f t="shared" si="0"/>
        <v>0</v>
      </c>
      <c r="AA5" s="75">
        <f t="shared" si="0"/>
        <v>0</v>
      </c>
      <c r="AB5" s="75">
        <f t="shared" si="0"/>
        <v>0</v>
      </c>
      <c r="AC5" s="75">
        <f t="shared" si="0"/>
        <v>0</v>
      </c>
      <c r="AD5" s="75">
        <f t="shared" si="0"/>
        <v>0</v>
      </c>
      <c r="AE5" s="75">
        <f t="shared" si="0"/>
        <v>0</v>
      </c>
      <c r="AF5" s="75">
        <f t="shared" si="0"/>
        <v>0</v>
      </c>
      <c r="AG5" s="75">
        <f t="shared" si="0"/>
        <v>0</v>
      </c>
      <c r="AH5" s="75">
        <f t="shared" si="0"/>
        <v>0</v>
      </c>
      <c r="AI5" s="76">
        <f t="shared" si="0"/>
        <v>0</v>
      </c>
    </row>
    <row r="6" spans="1:160">
      <c r="B6" s="71" t="s">
        <v>61</v>
      </c>
      <c r="C6" s="72"/>
      <c r="D6" s="77"/>
      <c r="E6" s="78">
        <f>D6-E5</f>
        <v>0</v>
      </c>
      <c r="F6" s="63">
        <f t="shared" ref="F6:AI6" si="1">IF(E6-F5&gt;0,E6-F5,0)</f>
        <v>0</v>
      </c>
      <c r="G6" s="63">
        <f t="shared" si="1"/>
        <v>0</v>
      </c>
      <c r="H6" s="63">
        <f t="shared" si="1"/>
        <v>0</v>
      </c>
      <c r="I6" s="63">
        <f t="shared" si="1"/>
        <v>0</v>
      </c>
      <c r="J6" s="63">
        <f t="shared" si="1"/>
        <v>0</v>
      </c>
      <c r="K6" s="63">
        <f t="shared" si="1"/>
        <v>0</v>
      </c>
      <c r="L6" s="63">
        <f t="shared" si="1"/>
        <v>0</v>
      </c>
      <c r="M6" s="63">
        <f t="shared" si="1"/>
        <v>0</v>
      </c>
      <c r="N6" s="63">
        <f t="shared" si="1"/>
        <v>0</v>
      </c>
      <c r="O6" s="63">
        <f t="shared" si="1"/>
        <v>0</v>
      </c>
      <c r="P6" s="63">
        <f t="shared" si="1"/>
        <v>0</v>
      </c>
      <c r="Q6" s="63">
        <f t="shared" si="1"/>
        <v>0</v>
      </c>
      <c r="R6" s="63">
        <f t="shared" si="1"/>
        <v>0</v>
      </c>
      <c r="S6" s="63">
        <f t="shared" si="1"/>
        <v>0</v>
      </c>
      <c r="T6" s="63">
        <f t="shared" si="1"/>
        <v>0</v>
      </c>
      <c r="U6" s="63">
        <f t="shared" si="1"/>
        <v>0</v>
      </c>
      <c r="V6" s="63">
        <f t="shared" si="1"/>
        <v>0</v>
      </c>
      <c r="W6" s="63">
        <f t="shared" si="1"/>
        <v>0</v>
      </c>
      <c r="X6" s="63">
        <f t="shared" si="1"/>
        <v>0</v>
      </c>
      <c r="Y6" s="63">
        <f t="shared" si="1"/>
        <v>0</v>
      </c>
      <c r="Z6" s="63">
        <f t="shared" si="1"/>
        <v>0</v>
      </c>
      <c r="AA6" s="63">
        <f t="shared" si="1"/>
        <v>0</v>
      </c>
      <c r="AB6" s="63">
        <f t="shared" si="1"/>
        <v>0</v>
      </c>
      <c r="AC6" s="63">
        <f t="shared" si="1"/>
        <v>0</v>
      </c>
      <c r="AD6" s="63">
        <f t="shared" si="1"/>
        <v>0</v>
      </c>
      <c r="AE6" s="63">
        <f t="shared" si="1"/>
        <v>0</v>
      </c>
      <c r="AF6" s="63">
        <f t="shared" si="1"/>
        <v>0</v>
      </c>
      <c r="AG6" s="63">
        <f t="shared" si="1"/>
        <v>0</v>
      </c>
      <c r="AH6" s="63">
        <f t="shared" si="1"/>
        <v>0</v>
      </c>
      <c r="AI6" s="79">
        <f t="shared" si="1"/>
        <v>0</v>
      </c>
    </row>
    <row r="7" spans="1:160" s="80" customFormat="1">
      <c r="A7" s="95" t="str">
        <f>E3</f>
        <v>Anno 1</v>
      </c>
      <c r="B7" s="80" t="str">
        <f>$B5</f>
        <v>Impianti</v>
      </c>
      <c r="C7" s="81">
        <f>$C$5</f>
        <v>0</v>
      </c>
      <c r="D7" s="52">
        <f>+Ipotesi!C30</f>
        <v>0</v>
      </c>
      <c r="E7" s="82">
        <f t="shared" ref="E7:AI7" si="2">IF($D7*$C7&gt;=D8,D8,$D7*$C7)</f>
        <v>0</v>
      </c>
      <c r="F7" s="83">
        <f t="shared" si="2"/>
        <v>0</v>
      </c>
      <c r="G7" s="83">
        <f t="shared" si="2"/>
        <v>0</v>
      </c>
      <c r="H7" s="83">
        <f t="shared" si="2"/>
        <v>0</v>
      </c>
      <c r="I7" s="83">
        <f t="shared" si="2"/>
        <v>0</v>
      </c>
      <c r="J7" s="83">
        <f t="shared" si="2"/>
        <v>0</v>
      </c>
      <c r="K7" s="83">
        <f t="shared" si="2"/>
        <v>0</v>
      </c>
      <c r="L7" s="83">
        <f t="shared" si="2"/>
        <v>0</v>
      </c>
      <c r="M7" s="83">
        <f t="shared" si="2"/>
        <v>0</v>
      </c>
      <c r="N7" s="83">
        <f t="shared" si="2"/>
        <v>0</v>
      </c>
      <c r="O7" s="83">
        <f t="shared" si="2"/>
        <v>0</v>
      </c>
      <c r="P7" s="83">
        <f t="shared" si="2"/>
        <v>0</v>
      </c>
      <c r="Q7" s="83">
        <f t="shared" si="2"/>
        <v>0</v>
      </c>
      <c r="R7" s="83">
        <f t="shared" si="2"/>
        <v>0</v>
      </c>
      <c r="S7" s="83">
        <f t="shared" si="2"/>
        <v>0</v>
      </c>
      <c r="T7" s="83">
        <f t="shared" si="2"/>
        <v>0</v>
      </c>
      <c r="U7" s="83">
        <f t="shared" si="2"/>
        <v>0</v>
      </c>
      <c r="V7" s="83">
        <f t="shared" si="2"/>
        <v>0</v>
      </c>
      <c r="W7" s="83">
        <f t="shared" si="2"/>
        <v>0</v>
      </c>
      <c r="X7" s="83">
        <f t="shared" si="2"/>
        <v>0</v>
      </c>
      <c r="Y7" s="83">
        <f t="shared" si="2"/>
        <v>0</v>
      </c>
      <c r="Z7" s="83">
        <f t="shared" si="2"/>
        <v>0</v>
      </c>
      <c r="AA7" s="83">
        <f t="shared" si="2"/>
        <v>0</v>
      </c>
      <c r="AB7" s="83">
        <f t="shared" si="2"/>
        <v>0</v>
      </c>
      <c r="AC7" s="83">
        <f t="shared" si="2"/>
        <v>0</v>
      </c>
      <c r="AD7" s="83">
        <f t="shared" si="2"/>
        <v>0</v>
      </c>
      <c r="AE7" s="83">
        <f t="shared" si="2"/>
        <v>0</v>
      </c>
      <c r="AF7" s="83">
        <f t="shared" si="2"/>
        <v>0</v>
      </c>
      <c r="AG7" s="83">
        <f t="shared" si="2"/>
        <v>0</v>
      </c>
      <c r="AH7" s="83">
        <f t="shared" si="2"/>
        <v>0</v>
      </c>
      <c r="AI7" s="84">
        <f t="shared" si="2"/>
        <v>0</v>
      </c>
      <c r="FD7" s="59"/>
    </row>
    <row r="8" spans="1:160">
      <c r="A8" s="60" t="str">
        <f>E3</f>
        <v>Anno 1</v>
      </c>
      <c r="B8" s="59" t="s">
        <v>61</v>
      </c>
      <c r="C8" s="81"/>
      <c r="D8" s="52">
        <f>D7</f>
        <v>0</v>
      </c>
      <c r="E8" s="78">
        <f>$D8-E7</f>
        <v>0</v>
      </c>
      <c r="F8" s="63">
        <f t="shared" ref="F8:AI8" si="3">IF(E8-F7&gt;0,E8-F7,0)</f>
        <v>0</v>
      </c>
      <c r="G8" s="63">
        <f t="shared" si="3"/>
        <v>0</v>
      </c>
      <c r="H8" s="63">
        <f t="shared" si="3"/>
        <v>0</v>
      </c>
      <c r="I8" s="63">
        <f t="shared" si="3"/>
        <v>0</v>
      </c>
      <c r="J8" s="63">
        <f t="shared" si="3"/>
        <v>0</v>
      </c>
      <c r="K8" s="63">
        <f t="shared" si="3"/>
        <v>0</v>
      </c>
      <c r="L8" s="63">
        <f t="shared" si="3"/>
        <v>0</v>
      </c>
      <c r="M8" s="63">
        <f t="shared" si="3"/>
        <v>0</v>
      </c>
      <c r="N8" s="63">
        <f t="shared" si="3"/>
        <v>0</v>
      </c>
      <c r="O8" s="63">
        <f t="shared" si="3"/>
        <v>0</v>
      </c>
      <c r="P8" s="63">
        <f t="shared" si="3"/>
        <v>0</v>
      </c>
      <c r="Q8" s="63">
        <f t="shared" si="3"/>
        <v>0</v>
      </c>
      <c r="R8" s="63">
        <f t="shared" si="3"/>
        <v>0</v>
      </c>
      <c r="S8" s="63">
        <f t="shared" si="3"/>
        <v>0</v>
      </c>
      <c r="T8" s="63">
        <f t="shared" si="3"/>
        <v>0</v>
      </c>
      <c r="U8" s="63">
        <f t="shared" si="3"/>
        <v>0</v>
      </c>
      <c r="V8" s="63">
        <f t="shared" si="3"/>
        <v>0</v>
      </c>
      <c r="W8" s="63">
        <f t="shared" si="3"/>
        <v>0</v>
      </c>
      <c r="X8" s="63">
        <f t="shared" si="3"/>
        <v>0</v>
      </c>
      <c r="Y8" s="63">
        <f t="shared" si="3"/>
        <v>0</v>
      </c>
      <c r="Z8" s="63">
        <f t="shared" si="3"/>
        <v>0</v>
      </c>
      <c r="AA8" s="63">
        <f t="shared" si="3"/>
        <v>0</v>
      </c>
      <c r="AB8" s="63">
        <f t="shared" si="3"/>
        <v>0</v>
      </c>
      <c r="AC8" s="63">
        <f t="shared" si="3"/>
        <v>0</v>
      </c>
      <c r="AD8" s="63">
        <f t="shared" si="3"/>
        <v>0</v>
      </c>
      <c r="AE8" s="63">
        <f t="shared" si="3"/>
        <v>0</v>
      </c>
      <c r="AF8" s="63">
        <f t="shared" si="3"/>
        <v>0</v>
      </c>
      <c r="AG8" s="63">
        <f t="shared" si="3"/>
        <v>0</v>
      </c>
      <c r="AH8" s="63">
        <f t="shared" si="3"/>
        <v>0</v>
      </c>
      <c r="AI8" s="79">
        <f t="shared" si="3"/>
        <v>0</v>
      </c>
    </row>
    <row r="9" spans="1:160" s="80" customFormat="1">
      <c r="A9" s="95" t="str">
        <f>F3</f>
        <v>Anno 2</v>
      </c>
      <c r="B9" s="80" t="str">
        <f>$B5</f>
        <v>Impianti</v>
      </c>
      <c r="C9" s="81">
        <f>$C$5</f>
        <v>0</v>
      </c>
      <c r="D9" s="52">
        <f>+Ipotesi!D30</f>
        <v>0</v>
      </c>
      <c r="E9" s="85"/>
      <c r="F9" s="64">
        <f>IF($D9*$C9&gt;=$D10,$D10,$D9*$C9)</f>
        <v>0</v>
      </c>
      <c r="G9" s="64">
        <f t="shared" ref="G9:AI9" si="4">IF($D9*$C9&gt;=F10,F10,$D9*$C9)</f>
        <v>0</v>
      </c>
      <c r="H9" s="64">
        <f t="shared" si="4"/>
        <v>0</v>
      </c>
      <c r="I9" s="64">
        <f t="shared" si="4"/>
        <v>0</v>
      </c>
      <c r="J9" s="64">
        <f t="shared" si="4"/>
        <v>0</v>
      </c>
      <c r="K9" s="64">
        <f t="shared" si="4"/>
        <v>0</v>
      </c>
      <c r="L9" s="64">
        <f t="shared" si="4"/>
        <v>0</v>
      </c>
      <c r="M9" s="64">
        <f t="shared" si="4"/>
        <v>0</v>
      </c>
      <c r="N9" s="64">
        <f t="shared" si="4"/>
        <v>0</v>
      </c>
      <c r="O9" s="64">
        <f t="shared" si="4"/>
        <v>0</v>
      </c>
      <c r="P9" s="64">
        <f t="shared" si="4"/>
        <v>0</v>
      </c>
      <c r="Q9" s="64">
        <f t="shared" si="4"/>
        <v>0</v>
      </c>
      <c r="R9" s="64">
        <f t="shared" si="4"/>
        <v>0</v>
      </c>
      <c r="S9" s="64">
        <f t="shared" si="4"/>
        <v>0</v>
      </c>
      <c r="T9" s="64">
        <f t="shared" si="4"/>
        <v>0</v>
      </c>
      <c r="U9" s="64">
        <f t="shared" si="4"/>
        <v>0</v>
      </c>
      <c r="V9" s="64">
        <f t="shared" si="4"/>
        <v>0</v>
      </c>
      <c r="W9" s="64">
        <f t="shared" si="4"/>
        <v>0</v>
      </c>
      <c r="X9" s="64">
        <f t="shared" si="4"/>
        <v>0</v>
      </c>
      <c r="Y9" s="64">
        <f t="shared" si="4"/>
        <v>0</v>
      </c>
      <c r="Z9" s="64">
        <f t="shared" si="4"/>
        <v>0</v>
      </c>
      <c r="AA9" s="64">
        <f t="shared" si="4"/>
        <v>0</v>
      </c>
      <c r="AB9" s="64">
        <f t="shared" si="4"/>
        <v>0</v>
      </c>
      <c r="AC9" s="64">
        <f t="shared" si="4"/>
        <v>0</v>
      </c>
      <c r="AD9" s="64">
        <f t="shared" si="4"/>
        <v>0</v>
      </c>
      <c r="AE9" s="64">
        <f t="shared" si="4"/>
        <v>0</v>
      </c>
      <c r="AF9" s="64">
        <f t="shared" si="4"/>
        <v>0</v>
      </c>
      <c r="AG9" s="64">
        <f t="shared" si="4"/>
        <v>0</v>
      </c>
      <c r="AH9" s="64">
        <f t="shared" si="4"/>
        <v>0</v>
      </c>
      <c r="AI9" s="86">
        <f t="shared" si="4"/>
        <v>0</v>
      </c>
      <c r="FD9" s="59"/>
    </row>
    <row r="10" spans="1:160">
      <c r="A10" s="60" t="str">
        <f>F3</f>
        <v>Anno 2</v>
      </c>
      <c r="B10" s="59" t="s">
        <v>61</v>
      </c>
      <c r="C10" s="81"/>
      <c r="D10" s="52">
        <f>D9</f>
        <v>0</v>
      </c>
      <c r="E10" s="78"/>
      <c r="F10" s="63">
        <f>$D10-F9</f>
        <v>0</v>
      </c>
      <c r="G10" s="63">
        <f t="shared" ref="G10:AI10" si="5">IF(F10-G9&gt;0,F10-G9,0)</f>
        <v>0</v>
      </c>
      <c r="H10" s="63">
        <f t="shared" si="5"/>
        <v>0</v>
      </c>
      <c r="I10" s="63">
        <f t="shared" si="5"/>
        <v>0</v>
      </c>
      <c r="J10" s="63">
        <f t="shared" si="5"/>
        <v>0</v>
      </c>
      <c r="K10" s="63">
        <f t="shared" si="5"/>
        <v>0</v>
      </c>
      <c r="L10" s="63">
        <f t="shared" si="5"/>
        <v>0</v>
      </c>
      <c r="M10" s="63">
        <f t="shared" si="5"/>
        <v>0</v>
      </c>
      <c r="N10" s="63">
        <f t="shared" si="5"/>
        <v>0</v>
      </c>
      <c r="O10" s="63">
        <f t="shared" si="5"/>
        <v>0</v>
      </c>
      <c r="P10" s="63">
        <f t="shared" si="5"/>
        <v>0</v>
      </c>
      <c r="Q10" s="63">
        <f t="shared" si="5"/>
        <v>0</v>
      </c>
      <c r="R10" s="63">
        <f t="shared" si="5"/>
        <v>0</v>
      </c>
      <c r="S10" s="63">
        <f t="shared" si="5"/>
        <v>0</v>
      </c>
      <c r="T10" s="63">
        <f t="shared" si="5"/>
        <v>0</v>
      </c>
      <c r="U10" s="63">
        <f t="shared" si="5"/>
        <v>0</v>
      </c>
      <c r="V10" s="63">
        <f t="shared" si="5"/>
        <v>0</v>
      </c>
      <c r="W10" s="63">
        <f t="shared" si="5"/>
        <v>0</v>
      </c>
      <c r="X10" s="63">
        <f t="shared" si="5"/>
        <v>0</v>
      </c>
      <c r="Y10" s="63">
        <f t="shared" si="5"/>
        <v>0</v>
      </c>
      <c r="Z10" s="63">
        <f t="shared" si="5"/>
        <v>0</v>
      </c>
      <c r="AA10" s="63">
        <f t="shared" si="5"/>
        <v>0</v>
      </c>
      <c r="AB10" s="63">
        <f t="shared" si="5"/>
        <v>0</v>
      </c>
      <c r="AC10" s="63">
        <f t="shared" si="5"/>
        <v>0</v>
      </c>
      <c r="AD10" s="63">
        <f t="shared" si="5"/>
        <v>0</v>
      </c>
      <c r="AE10" s="63">
        <f t="shared" si="5"/>
        <v>0</v>
      </c>
      <c r="AF10" s="63">
        <f t="shared" si="5"/>
        <v>0</v>
      </c>
      <c r="AG10" s="63">
        <f t="shared" si="5"/>
        <v>0</v>
      </c>
      <c r="AH10" s="63">
        <f t="shared" si="5"/>
        <v>0</v>
      </c>
      <c r="AI10" s="79">
        <f t="shared" si="5"/>
        <v>0</v>
      </c>
    </row>
    <row r="11" spans="1:160" s="80" customFormat="1">
      <c r="A11" s="95" t="str">
        <f>G3</f>
        <v>Anno 3</v>
      </c>
      <c r="B11" s="80" t="str">
        <f>$B5</f>
        <v>Impianti</v>
      </c>
      <c r="C11" s="81">
        <f>$C$5</f>
        <v>0</v>
      </c>
      <c r="D11" s="52">
        <f>+Ipotesi!E30</f>
        <v>0</v>
      </c>
      <c r="E11" s="85"/>
      <c r="F11" s="64"/>
      <c r="G11" s="64">
        <f>IF($D11*$C11&gt;=$D12,$D12,$D11*$C11)</f>
        <v>0</v>
      </c>
      <c r="H11" s="64">
        <f t="shared" ref="H11:AI11" si="6">IF($D11*$C11&gt;=G12,G12,$D11*$C11)</f>
        <v>0</v>
      </c>
      <c r="I11" s="64">
        <f t="shared" si="6"/>
        <v>0</v>
      </c>
      <c r="J11" s="64">
        <f t="shared" si="6"/>
        <v>0</v>
      </c>
      <c r="K11" s="64">
        <f t="shared" si="6"/>
        <v>0</v>
      </c>
      <c r="L11" s="64">
        <f t="shared" si="6"/>
        <v>0</v>
      </c>
      <c r="M11" s="64">
        <f t="shared" si="6"/>
        <v>0</v>
      </c>
      <c r="N11" s="64">
        <f t="shared" si="6"/>
        <v>0</v>
      </c>
      <c r="O11" s="64">
        <f t="shared" si="6"/>
        <v>0</v>
      </c>
      <c r="P11" s="64">
        <f t="shared" si="6"/>
        <v>0</v>
      </c>
      <c r="Q11" s="64">
        <f t="shared" si="6"/>
        <v>0</v>
      </c>
      <c r="R11" s="64">
        <f t="shared" si="6"/>
        <v>0</v>
      </c>
      <c r="S11" s="64">
        <f t="shared" si="6"/>
        <v>0</v>
      </c>
      <c r="T11" s="64">
        <f t="shared" si="6"/>
        <v>0</v>
      </c>
      <c r="U11" s="64">
        <f t="shared" si="6"/>
        <v>0</v>
      </c>
      <c r="V11" s="64">
        <f t="shared" si="6"/>
        <v>0</v>
      </c>
      <c r="W11" s="64">
        <f t="shared" si="6"/>
        <v>0</v>
      </c>
      <c r="X11" s="64">
        <f t="shared" si="6"/>
        <v>0</v>
      </c>
      <c r="Y11" s="64">
        <f t="shared" si="6"/>
        <v>0</v>
      </c>
      <c r="Z11" s="64">
        <f t="shared" si="6"/>
        <v>0</v>
      </c>
      <c r="AA11" s="64">
        <f t="shared" si="6"/>
        <v>0</v>
      </c>
      <c r="AB11" s="64">
        <f t="shared" si="6"/>
        <v>0</v>
      </c>
      <c r="AC11" s="64">
        <f t="shared" si="6"/>
        <v>0</v>
      </c>
      <c r="AD11" s="64">
        <f t="shared" si="6"/>
        <v>0</v>
      </c>
      <c r="AE11" s="64">
        <f t="shared" si="6"/>
        <v>0</v>
      </c>
      <c r="AF11" s="64">
        <f t="shared" si="6"/>
        <v>0</v>
      </c>
      <c r="AG11" s="64">
        <f t="shared" si="6"/>
        <v>0</v>
      </c>
      <c r="AH11" s="64">
        <f t="shared" si="6"/>
        <v>0</v>
      </c>
      <c r="AI11" s="86">
        <f t="shared" si="6"/>
        <v>0</v>
      </c>
      <c r="FD11" s="59"/>
    </row>
    <row r="12" spans="1:160">
      <c r="A12" s="60" t="str">
        <f>G3</f>
        <v>Anno 3</v>
      </c>
      <c r="B12" s="59" t="s">
        <v>61</v>
      </c>
      <c r="C12" s="81"/>
      <c r="D12" s="52">
        <f>D11</f>
        <v>0</v>
      </c>
      <c r="E12" s="78"/>
      <c r="G12" s="63">
        <f>$D12-G11</f>
        <v>0</v>
      </c>
      <c r="H12" s="63">
        <f t="shared" ref="H12:AI12" si="7">IF(G12-H11&gt;0,G12-H11,0)</f>
        <v>0</v>
      </c>
      <c r="I12" s="63">
        <f t="shared" si="7"/>
        <v>0</v>
      </c>
      <c r="J12" s="63">
        <f t="shared" si="7"/>
        <v>0</v>
      </c>
      <c r="K12" s="63">
        <f t="shared" si="7"/>
        <v>0</v>
      </c>
      <c r="L12" s="63">
        <f t="shared" si="7"/>
        <v>0</v>
      </c>
      <c r="M12" s="63">
        <f t="shared" si="7"/>
        <v>0</v>
      </c>
      <c r="N12" s="63">
        <f t="shared" si="7"/>
        <v>0</v>
      </c>
      <c r="O12" s="63">
        <f t="shared" si="7"/>
        <v>0</v>
      </c>
      <c r="P12" s="63">
        <f t="shared" si="7"/>
        <v>0</v>
      </c>
      <c r="Q12" s="63">
        <f t="shared" si="7"/>
        <v>0</v>
      </c>
      <c r="R12" s="63">
        <f t="shared" si="7"/>
        <v>0</v>
      </c>
      <c r="S12" s="63">
        <f t="shared" si="7"/>
        <v>0</v>
      </c>
      <c r="T12" s="63">
        <f t="shared" si="7"/>
        <v>0</v>
      </c>
      <c r="U12" s="63">
        <f t="shared" si="7"/>
        <v>0</v>
      </c>
      <c r="V12" s="63">
        <f t="shared" si="7"/>
        <v>0</v>
      </c>
      <c r="W12" s="63">
        <f t="shared" si="7"/>
        <v>0</v>
      </c>
      <c r="X12" s="63">
        <f t="shared" si="7"/>
        <v>0</v>
      </c>
      <c r="Y12" s="63">
        <f t="shared" si="7"/>
        <v>0</v>
      </c>
      <c r="Z12" s="63">
        <f t="shared" si="7"/>
        <v>0</v>
      </c>
      <c r="AA12" s="63">
        <f t="shared" si="7"/>
        <v>0</v>
      </c>
      <c r="AB12" s="63">
        <f t="shared" si="7"/>
        <v>0</v>
      </c>
      <c r="AC12" s="63">
        <f t="shared" si="7"/>
        <v>0</v>
      </c>
      <c r="AD12" s="63">
        <f t="shared" si="7"/>
        <v>0</v>
      </c>
      <c r="AE12" s="63">
        <f t="shared" si="7"/>
        <v>0</v>
      </c>
      <c r="AF12" s="63">
        <f t="shared" si="7"/>
        <v>0</v>
      </c>
      <c r="AG12" s="63">
        <f t="shared" si="7"/>
        <v>0</v>
      </c>
      <c r="AH12" s="63">
        <f t="shared" si="7"/>
        <v>0</v>
      </c>
      <c r="AI12" s="79">
        <f t="shared" si="7"/>
        <v>0</v>
      </c>
    </row>
    <row r="13" spans="1:160" s="80" customFormat="1">
      <c r="A13" s="95" t="str">
        <f>H3</f>
        <v>Anno 4</v>
      </c>
      <c r="B13" s="80" t="str">
        <f>$B5</f>
        <v>Impianti</v>
      </c>
      <c r="C13" s="81">
        <f>$C$5</f>
        <v>0</v>
      </c>
      <c r="D13" s="52"/>
      <c r="E13" s="85"/>
      <c r="F13" s="64"/>
      <c r="G13" s="64"/>
      <c r="H13" s="64">
        <f>IF($D13*$C13&gt;=$D14,$D14,$D13*$C13)</f>
        <v>0</v>
      </c>
      <c r="I13" s="64">
        <f t="shared" ref="I13:AI13" si="8">IF($D13*$C13&gt;=H14,H14,$D13*$C13)</f>
        <v>0</v>
      </c>
      <c r="J13" s="64">
        <f t="shared" si="8"/>
        <v>0</v>
      </c>
      <c r="K13" s="64">
        <f t="shared" si="8"/>
        <v>0</v>
      </c>
      <c r="L13" s="64">
        <f t="shared" si="8"/>
        <v>0</v>
      </c>
      <c r="M13" s="64">
        <f t="shared" si="8"/>
        <v>0</v>
      </c>
      <c r="N13" s="64">
        <f t="shared" si="8"/>
        <v>0</v>
      </c>
      <c r="O13" s="64">
        <f t="shared" si="8"/>
        <v>0</v>
      </c>
      <c r="P13" s="64">
        <f t="shared" si="8"/>
        <v>0</v>
      </c>
      <c r="Q13" s="64">
        <f t="shared" si="8"/>
        <v>0</v>
      </c>
      <c r="R13" s="64">
        <f t="shared" si="8"/>
        <v>0</v>
      </c>
      <c r="S13" s="64">
        <f t="shared" si="8"/>
        <v>0</v>
      </c>
      <c r="T13" s="64">
        <f t="shared" si="8"/>
        <v>0</v>
      </c>
      <c r="U13" s="64">
        <f t="shared" si="8"/>
        <v>0</v>
      </c>
      <c r="V13" s="64">
        <f t="shared" si="8"/>
        <v>0</v>
      </c>
      <c r="W13" s="64">
        <f t="shared" si="8"/>
        <v>0</v>
      </c>
      <c r="X13" s="64">
        <f t="shared" si="8"/>
        <v>0</v>
      </c>
      <c r="Y13" s="64">
        <f t="shared" si="8"/>
        <v>0</v>
      </c>
      <c r="Z13" s="64">
        <f t="shared" si="8"/>
        <v>0</v>
      </c>
      <c r="AA13" s="64">
        <f t="shared" si="8"/>
        <v>0</v>
      </c>
      <c r="AB13" s="64">
        <f t="shared" si="8"/>
        <v>0</v>
      </c>
      <c r="AC13" s="64">
        <f t="shared" si="8"/>
        <v>0</v>
      </c>
      <c r="AD13" s="64">
        <f t="shared" si="8"/>
        <v>0</v>
      </c>
      <c r="AE13" s="64">
        <f t="shared" si="8"/>
        <v>0</v>
      </c>
      <c r="AF13" s="64">
        <f t="shared" si="8"/>
        <v>0</v>
      </c>
      <c r="AG13" s="64">
        <f t="shared" si="8"/>
        <v>0</v>
      </c>
      <c r="AH13" s="64">
        <f t="shared" si="8"/>
        <v>0</v>
      </c>
      <c r="AI13" s="86">
        <f t="shared" si="8"/>
        <v>0</v>
      </c>
      <c r="FD13" s="59"/>
    </row>
    <row r="14" spans="1:160">
      <c r="A14" s="60" t="str">
        <f>H3</f>
        <v>Anno 4</v>
      </c>
      <c r="B14" s="59" t="s">
        <v>61</v>
      </c>
      <c r="C14" s="81"/>
      <c r="D14" s="52">
        <f>D13</f>
        <v>0</v>
      </c>
      <c r="E14" s="78"/>
      <c r="H14" s="63">
        <f>$D14-H13</f>
        <v>0</v>
      </c>
      <c r="I14" s="63">
        <f t="shared" ref="I14:AI14" si="9">IF(H14-I13&gt;0,H14-I13,0)</f>
        <v>0</v>
      </c>
      <c r="J14" s="63">
        <f t="shared" si="9"/>
        <v>0</v>
      </c>
      <c r="K14" s="63">
        <f t="shared" si="9"/>
        <v>0</v>
      </c>
      <c r="L14" s="63">
        <f t="shared" si="9"/>
        <v>0</v>
      </c>
      <c r="M14" s="63">
        <f t="shared" si="9"/>
        <v>0</v>
      </c>
      <c r="N14" s="63">
        <f t="shared" si="9"/>
        <v>0</v>
      </c>
      <c r="O14" s="63">
        <f t="shared" si="9"/>
        <v>0</v>
      </c>
      <c r="P14" s="63">
        <f t="shared" si="9"/>
        <v>0</v>
      </c>
      <c r="Q14" s="63">
        <f t="shared" si="9"/>
        <v>0</v>
      </c>
      <c r="R14" s="63">
        <f t="shared" si="9"/>
        <v>0</v>
      </c>
      <c r="S14" s="63">
        <f t="shared" si="9"/>
        <v>0</v>
      </c>
      <c r="T14" s="63">
        <f t="shared" si="9"/>
        <v>0</v>
      </c>
      <c r="U14" s="63">
        <f t="shared" si="9"/>
        <v>0</v>
      </c>
      <c r="V14" s="63">
        <f t="shared" si="9"/>
        <v>0</v>
      </c>
      <c r="W14" s="63">
        <f t="shared" si="9"/>
        <v>0</v>
      </c>
      <c r="X14" s="63">
        <f t="shared" si="9"/>
        <v>0</v>
      </c>
      <c r="Y14" s="63">
        <f t="shared" si="9"/>
        <v>0</v>
      </c>
      <c r="Z14" s="63">
        <f t="shared" si="9"/>
        <v>0</v>
      </c>
      <c r="AA14" s="63">
        <f t="shared" si="9"/>
        <v>0</v>
      </c>
      <c r="AB14" s="63">
        <f t="shared" si="9"/>
        <v>0</v>
      </c>
      <c r="AC14" s="63">
        <f t="shared" si="9"/>
        <v>0</v>
      </c>
      <c r="AD14" s="63">
        <f t="shared" si="9"/>
        <v>0</v>
      </c>
      <c r="AE14" s="63">
        <f t="shared" si="9"/>
        <v>0</v>
      </c>
      <c r="AF14" s="63">
        <f t="shared" si="9"/>
        <v>0</v>
      </c>
      <c r="AG14" s="63">
        <f t="shared" si="9"/>
        <v>0</v>
      </c>
      <c r="AH14" s="63">
        <f t="shared" si="9"/>
        <v>0</v>
      </c>
      <c r="AI14" s="79">
        <f t="shared" si="9"/>
        <v>0</v>
      </c>
    </row>
    <row r="15" spans="1:160" s="80" customFormat="1">
      <c r="A15" s="95" t="str">
        <f>I3</f>
        <v>Anno 5</v>
      </c>
      <c r="B15" s="80" t="str">
        <f>$B5</f>
        <v>Impianti</v>
      </c>
      <c r="C15" s="81">
        <f>$C$5</f>
        <v>0</v>
      </c>
      <c r="D15" s="52"/>
      <c r="E15" s="85"/>
      <c r="F15" s="64"/>
      <c r="G15" s="64"/>
      <c r="H15" s="64"/>
      <c r="I15" s="64">
        <f>IF($D15*$C15&gt;=$D16,$D16,$D15*$C15)</f>
        <v>0</v>
      </c>
      <c r="J15" s="64">
        <f t="shared" ref="J15:AI15" si="10">IF($D15*$C15&gt;=I16,I16,$D15*$C15)</f>
        <v>0</v>
      </c>
      <c r="K15" s="64">
        <f t="shared" si="10"/>
        <v>0</v>
      </c>
      <c r="L15" s="64">
        <f t="shared" si="10"/>
        <v>0</v>
      </c>
      <c r="M15" s="64">
        <f t="shared" si="10"/>
        <v>0</v>
      </c>
      <c r="N15" s="64">
        <f t="shared" si="10"/>
        <v>0</v>
      </c>
      <c r="O15" s="64">
        <f t="shared" si="10"/>
        <v>0</v>
      </c>
      <c r="P15" s="64">
        <f t="shared" si="10"/>
        <v>0</v>
      </c>
      <c r="Q15" s="64">
        <f t="shared" si="10"/>
        <v>0</v>
      </c>
      <c r="R15" s="64">
        <f t="shared" si="10"/>
        <v>0</v>
      </c>
      <c r="S15" s="64">
        <f t="shared" si="10"/>
        <v>0</v>
      </c>
      <c r="T15" s="64">
        <f t="shared" si="10"/>
        <v>0</v>
      </c>
      <c r="U15" s="64">
        <f t="shared" si="10"/>
        <v>0</v>
      </c>
      <c r="V15" s="64">
        <f t="shared" si="10"/>
        <v>0</v>
      </c>
      <c r="W15" s="64">
        <f t="shared" si="10"/>
        <v>0</v>
      </c>
      <c r="X15" s="64">
        <f t="shared" si="10"/>
        <v>0</v>
      </c>
      <c r="Y15" s="64">
        <f t="shared" si="10"/>
        <v>0</v>
      </c>
      <c r="Z15" s="64">
        <f t="shared" si="10"/>
        <v>0</v>
      </c>
      <c r="AA15" s="64">
        <f t="shared" si="10"/>
        <v>0</v>
      </c>
      <c r="AB15" s="64">
        <f t="shared" si="10"/>
        <v>0</v>
      </c>
      <c r="AC15" s="64">
        <f t="shared" si="10"/>
        <v>0</v>
      </c>
      <c r="AD15" s="64">
        <f t="shared" si="10"/>
        <v>0</v>
      </c>
      <c r="AE15" s="64">
        <f t="shared" si="10"/>
        <v>0</v>
      </c>
      <c r="AF15" s="64">
        <f t="shared" si="10"/>
        <v>0</v>
      </c>
      <c r="AG15" s="64">
        <f t="shared" si="10"/>
        <v>0</v>
      </c>
      <c r="AH15" s="64">
        <f t="shared" si="10"/>
        <v>0</v>
      </c>
      <c r="AI15" s="86">
        <f t="shared" si="10"/>
        <v>0</v>
      </c>
      <c r="FD15" s="59"/>
    </row>
    <row r="16" spans="1:160">
      <c r="A16" s="60" t="str">
        <f>I3</f>
        <v>Anno 5</v>
      </c>
      <c r="B16" s="59" t="s">
        <v>61</v>
      </c>
      <c r="C16" s="81"/>
      <c r="D16" s="52">
        <f>D15</f>
        <v>0</v>
      </c>
      <c r="E16" s="78"/>
      <c r="I16" s="63">
        <f>$D16-I15</f>
        <v>0</v>
      </c>
      <c r="J16" s="63">
        <f t="shared" ref="J16:AI16" si="11">IF(I16-J15&gt;0,I16-J15,0)</f>
        <v>0</v>
      </c>
      <c r="K16" s="63">
        <f t="shared" si="11"/>
        <v>0</v>
      </c>
      <c r="L16" s="63">
        <f t="shared" si="11"/>
        <v>0</v>
      </c>
      <c r="M16" s="63">
        <f t="shared" si="11"/>
        <v>0</v>
      </c>
      <c r="N16" s="63">
        <f t="shared" si="11"/>
        <v>0</v>
      </c>
      <c r="O16" s="63">
        <f t="shared" si="11"/>
        <v>0</v>
      </c>
      <c r="P16" s="63">
        <f t="shared" si="11"/>
        <v>0</v>
      </c>
      <c r="Q16" s="63">
        <f t="shared" si="11"/>
        <v>0</v>
      </c>
      <c r="R16" s="63">
        <f t="shared" si="11"/>
        <v>0</v>
      </c>
      <c r="S16" s="63">
        <f t="shared" si="11"/>
        <v>0</v>
      </c>
      <c r="T16" s="63">
        <f t="shared" si="11"/>
        <v>0</v>
      </c>
      <c r="U16" s="63">
        <f t="shared" si="11"/>
        <v>0</v>
      </c>
      <c r="V16" s="63">
        <f t="shared" si="11"/>
        <v>0</v>
      </c>
      <c r="W16" s="63">
        <f t="shared" si="11"/>
        <v>0</v>
      </c>
      <c r="X16" s="63">
        <f t="shared" si="11"/>
        <v>0</v>
      </c>
      <c r="Y16" s="63">
        <f t="shared" si="11"/>
        <v>0</v>
      </c>
      <c r="Z16" s="63">
        <f t="shared" si="11"/>
        <v>0</v>
      </c>
      <c r="AA16" s="63">
        <f t="shared" si="11"/>
        <v>0</v>
      </c>
      <c r="AB16" s="63">
        <f t="shared" si="11"/>
        <v>0</v>
      </c>
      <c r="AC16" s="63">
        <f t="shared" si="11"/>
        <v>0</v>
      </c>
      <c r="AD16" s="63">
        <f t="shared" si="11"/>
        <v>0</v>
      </c>
      <c r="AE16" s="63">
        <f t="shared" si="11"/>
        <v>0</v>
      </c>
      <c r="AF16" s="63">
        <f t="shared" si="11"/>
        <v>0</v>
      </c>
      <c r="AG16" s="63">
        <f t="shared" si="11"/>
        <v>0</v>
      </c>
      <c r="AH16" s="63">
        <f t="shared" si="11"/>
        <v>0</v>
      </c>
      <c r="AI16" s="79">
        <f t="shared" si="11"/>
        <v>0</v>
      </c>
    </row>
    <row r="17" spans="1:160" s="80" customFormat="1">
      <c r="A17" s="95" t="str">
        <f>J3</f>
        <v>Anno 6</v>
      </c>
      <c r="B17" s="80" t="str">
        <f>$B5</f>
        <v>Impianti</v>
      </c>
      <c r="C17" s="81">
        <f>$C$5</f>
        <v>0</v>
      </c>
      <c r="D17" s="52"/>
      <c r="E17" s="85"/>
      <c r="F17" s="64"/>
      <c r="G17" s="64"/>
      <c r="H17" s="64"/>
      <c r="I17" s="64"/>
      <c r="J17" s="64">
        <f>IF($D17*$C17&gt;=$D18,$D18,$D17*$C17)</f>
        <v>0</v>
      </c>
      <c r="K17" s="64">
        <f t="shared" ref="K17:AI17" si="12">IF($D17*$C17&gt;=J18,J18,$D17*$C17)</f>
        <v>0</v>
      </c>
      <c r="L17" s="64">
        <f t="shared" si="12"/>
        <v>0</v>
      </c>
      <c r="M17" s="64">
        <f t="shared" si="12"/>
        <v>0</v>
      </c>
      <c r="N17" s="64">
        <f t="shared" si="12"/>
        <v>0</v>
      </c>
      <c r="O17" s="64">
        <f t="shared" si="12"/>
        <v>0</v>
      </c>
      <c r="P17" s="64">
        <f t="shared" si="12"/>
        <v>0</v>
      </c>
      <c r="Q17" s="64">
        <f t="shared" si="12"/>
        <v>0</v>
      </c>
      <c r="R17" s="64">
        <f t="shared" si="12"/>
        <v>0</v>
      </c>
      <c r="S17" s="64">
        <f t="shared" si="12"/>
        <v>0</v>
      </c>
      <c r="T17" s="64">
        <f t="shared" si="12"/>
        <v>0</v>
      </c>
      <c r="U17" s="64">
        <f t="shared" si="12"/>
        <v>0</v>
      </c>
      <c r="V17" s="64">
        <f t="shared" si="12"/>
        <v>0</v>
      </c>
      <c r="W17" s="64">
        <f t="shared" si="12"/>
        <v>0</v>
      </c>
      <c r="X17" s="64">
        <f t="shared" si="12"/>
        <v>0</v>
      </c>
      <c r="Y17" s="64">
        <f t="shared" si="12"/>
        <v>0</v>
      </c>
      <c r="Z17" s="64">
        <f t="shared" si="12"/>
        <v>0</v>
      </c>
      <c r="AA17" s="64">
        <f t="shared" si="12"/>
        <v>0</v>
      </c>
      <c r="AB17" s="64">
        <f t="shared" si="12"/>
        <v>0</v>
      </c>
      <c r="AC17" s="64">
        <f t="shared" si="12"/>
        <v>0</v>
      </c>
      <c r="AD17" s="64">
        <f t="shared" si="12"/>
        <v>0</v>
      </c>
      <c r="AE17" s="64">
        <f t="shared" si="12"/>
        <v>0</v>
      </c>
      <c r="AF17" s="64">
        <f t="shared" si="12"/>
        <v>0</v>
      </c>
      <c r="AG17" s="64">
        <f t="shared" si="12"/>
        <v>0</v>
      </c>
      <c r="AH17" s="64">
        <f t="shared" si="12"/>
        <v>0</v>
      </c>
      <c r="AI17" s="86">
        <f t="shared" si="12"/>
        <v>0</v>
      </c>
      <c r="FD17" s="59"/>
    </row>
    <row r="18" spans="1:160">
      <c r="A18" s="60" t="str">
        <f>J3</f>
        <v>Anno 6</v>
      </c>
      <c r="B18" s="59" t="s">
        <v>61</v>
      </c>
      <c r="C18" s="81"/>
      <c r="D18" s="52">
        <f>D17</f>
        <v>0</v>
      </c>
      <c r="E18" s="78"/>
      <c r="J18" s="63">
        <f>$D18-J17</f>
        <v>0</v>
      </c>
      <c r="K18" s="63">
        <f t="shared" ref="K18:AI18" si="13">IF(J18-K17&gt;0,J18-K17,0)</f>
        <v>0</v>
      </c>
      <c r="L18" s="63">
        <f t="shared" si="13"/>
        <v>0</v>
      </c>
      <c r="M18" s="63">
        <f t="shared" si="13"/>
        <v>0</v>
      </c>
      <c r="N18" s="63">
        <f t="shared" si="13"/>
        <v>0</v>
      </c>
      <c r="O18" s="63">
        <f t="shared" si="13"/>
        <v>0</v>
      </c>
      <c r="P18" s="63">
        <f t="shared" si="13"/>
        <v>0</v>
      </c>
      <c r="Q18" s="63">
        <f t="shared" si="13"/>
        <v>0</v>
      </c>
      <c r="R18" s="63">
        <f t="shared" si="13"/>
        <v>0</v>
      </c>
      <c r="S18" s="63">
        <f t="shared" si="13"/>
        <v>0</v>
      </c>
      <c r="T18" s="63">
        <f t="shared" si="13"/>
        <v>0</v>
      </c>
      <c r="U18" s="63">
        <f t="shared" si="13"/>
        <v>0</v>
      </c>
      <c r="V18" s="63">
        <f t="shared" si="13"/>
        <v>0</v>
      </c>
      <c r="W18" s="63">
        <f t="shared" si="13"/>
        <v>0</v>
      </c>
      <c r="X18" s="63">
        <f t="shared" si="13"/>
        <v>0</v>
      </c>
      <c r="Y18" s="63">
        <f t="shared" si="13"/>
        <v>0</v>
      </c>
      <c r="Z18" s="63">
        <f t="shared" si="13"/>
        <v>0</v>
      </c>
      <c r="AA18" s="63">
        <f t="shared" si="13"/>
        <v>0</v>
      </c>
      <c r="AB18" s="63">
        <f t="shared" si="13"/>
        <v>0</v>
      </c>
      <c r="AC18" s="63">
        <f t="shared" si="13"/>
        <v>0</v>
      </c>
      <c r="AD18" s="63">
        <f t="shared" si="13"/>
        <v>0</v>
      </c>
      <c r="AE18" s="63">
        <f t="shared" si="13"/>
        <v>0</v>
      </c>
      <c r="AF18" s="63">
        <f t="shared" si="13"/>
        <v>0</v>
      </c>
      <c r="AG18" s="63">
        <f t="shared" si="13"/>
        <v>0</v>
      </c>
      <c r="AH18" s="63">
        <f t="shared" si="13"/>
        <v>0</v>
      </c>
      <c r="AI18" s="79">
        <f t="shared" si="13"/>
        <v>0</v>
      </c>
    </row>
    <row r="19" spans="1:160" s="80" customFormat="1">
      <c r="A19" s="95" t="str">
        <f>K3</f>
        <v>Anno 7</v>
      </c>
      <c r="B19" s="80" t="str">
        <f>$B5</f>
        <v>Impianti</v>
      </c>
      <c r="C19" s="81">
        <f>$C$5</f>
        <v>0</v>
      </c>
      <c r="D19" s="52"/>
      <c r="E19" s="85"/>
      <c r="F19" s="64"/>
      <c r="G19" s="64"/>
      <c r="H19" s="64"/>
      <c r="I19" s="64"/>
      <c r="J19" s="87"/>
      <c r="K19" s="64">
        <f>IF($D19*$C19&gt;=$D20,$D20,$D19*$C19)</f>
        <v>0</v>
      </c>
      <c r="L19" s="64">
        <f t="shared" ref="L19:AI19" si="14">IF($D19*$C19&gt;=K20,K20,$D19*$C19)</f>
        <v>0</v>
      </c>
      <c r="M19" s="64">
        <f t="shared" si="14"/>
        <v>0</v>
      </c>
      <c r="N19" s="64">
        <f t="shared" si="14"/>
        <v>0</v>
      </c>
      <c r="O19" s="64">
        <f t="shared" si="14"/>
        <v>0</v>
      </c>
      <c r="P19" s="64">
        <f t="shared" si="14"/>
        <v>0</v>
      </c>
      <c r="Q19" s="64">
        <f t="shared" si="14"/>
        <v>0</v>
      </c>
      <c r="R19" s="64">
        <f t="shared" si="14"/>
        <v>0</v>
      </c>
      <c r="S19" s="64">
        <f t="shared" si="14"/>
        <v>0</v>
      </c>
      <c r="T19" s="64">
        <f t="shared" si="14"/>
        <v>0</v>
      </c>
      <c r="U19" s="64">
        <f t="shared" si="14"/>
        <v>0</v>
      </c>
      <c r="V19" s="64">
        <f t="shared" si="14"/>
        <v>0</v>
      </c>
      <c r="W19" s="64">
        <f t="shared" si="14"/>
        <v>0</v>
      </c>
      <c r="X19" s="64">
        <f t="shared" si="14"/>
        <v>0</v>
      </c>
      <c r="Y19" s="64">
        <f t="shared" si="14"/>
        <v>0</v>
      </c>
      <c r="Z19" s="64">
        <f t="shared" si="14"/>
        <v>0</v>
      </c>
      <c r="AA19" s="64">
        <f t="shared" si="14"/>
        <v>0</v>
      </c>
      <c r="AB19" s="64">
        <f t="shared" si="14"/>
        <v>0</v>
      </c>
      <c r="AC19" s="64">
        <f t="shared" si="14"/>
        <v>0</v>
      </c>
      <c r="AD19" s="64">
        <f t="shared" si="14"/>
        <v>0</v>
      </c>
      <c r="AE19" s="64">
        <f t="shared" si="14"/>
        <v>0</v>
      </c>
      <c r="AF19" s="64">
        <f t="shared" si="14"/>
        <v>0</v>
      </c>
      <c r="AG19" s="64">
        <f t="shared" si="14"/>
        <v>0</v>
      </c>
      <c r="AH19" s="64">
        <f t="shared" si="14"/>
        <v>0</v>
      </c>
      <c r="AI19" s="86">
        <f t="shared" si="14"/>
        <v>0</v>
      </c>
      <c r="FD19" s="59"/>
    </row>
    <row r="20" spans="1:160">
      <c r="A20" s="60" t="str">
        <f>K3</f>
        <v>Anno 7</v>
      </c>
      <c r="B20" s="59" t="s">
        <v>61</v>
      </c>
      <c r="C20" s="81"/>
      <c r="D20" s="52">
        <f>D19</f>
        <v>0</v>
      </c>
      <c r="E20" s="78"/>
      <c r="K20" s="63">
        <f>$D20-K19</f>
        <v>0</v>
      </c>
      <c r="L20" s="63">
        <f t="shared" ref="L20:AI20" si="15">IF(K20-L19&gt;0,K20-L19,0)</f>
        <v>0</v>
      </c>
      <c r="M20" s="63">
        <f t="shared" si="15"/>
        <v>0</v>
      </c>
      <c r="N20" s="63">
        <f t="shared" si="15"/>
        <v>0</v>
      </c>
      <c r="O20" s="63">
        <f t="shared" si="15"/>
        <v>0</v>
      </c>
      <c r="P20" s="63">
        <f t="shared" si="15"/>
        <v>0</v>
      </c>
      <c r="Q20" s="63">
        <f t="shared" si="15"/>
        <v>0</v>
      </c>
      <c r="R20" s="63">
        <f t="shared" si="15"/>
        <v>0</v>
      </c>
      <c r="S20" s="63">
        <f t="shared" si="15"/>
        <v>0</v>
      </c>
      <c r="T20" s="63">
        <f t="shared" si="15"/>
        <v>0</v>
      </c>
      <c r="U20" s="63">
        <f t="shared" si="15"/>
        <v>0</v>
      </c>
      <c r="V20" s="63">
        <f t="shared" si="15"/>
        <v>0</v>
      </c>
      <c r="W20" s="63">
        <f t="shared" si="15"/>
        <v>0</v>
      </c>
      <c r="X20" s="63">
        <f t="shared" si="15"/>
        <v>0</v>
      </c>
      <c r="Y20" s="63">
        <f t="shared" si="15"/>
        <v>0</v>
      </c>
      <c r="Z20" s="63">
        <f t="shared" si="15"/>
        <v>0</v>
      </c>
      <c r="AA20" s="63">
        <f t="shared" si="15"/>
        <v>0</v>
      </c>
      <c r="AB20" s="63">
        <f t="shared" si="15"/>
        <v>0</v>
      </c>
      <c r="AC20" s="63">
        <f t="shared" si="15"/>
        <v>0</v>
      </c>
      <c r="AD20" s="63">
        <f t="shared" si="15"/>
        <v>0</v>
      </c>
      <c r="AE20" s="63">
        <f t="shared" si="15"/>
        <v>0</v>
      </c>
      <c r="AF20" s="63">
        <f t="shared" si="15"/>
        <v>0</v>
      </c>
      <c r="AG20" s="63">
        <f t="shared" si="15"/>
        <v>0</v>
      </c>
      <c r="AH20" s="63">
        <f t="shared" si="15"/>
        <v>0</v>
      </c>
      <c r="AI20" s="79">
        <f t="shared" si="15"/>
        <v>0</v>
      </c>
    </row>
    <row r="21" spans="1:160" s="80" customFormat="1">
      <c r="A21" s="95" t="str">
        <f>L3</f>
        <v>Anno 8</v>
      </c>
      <c r="B21" s="80" t="str">
        <f>$B5</f>
        <v>Impianti</v>
      </c>
      <c r="C21" s="81">
        <f>$C$5</f>
        <v>0</v>
      </c>
      <c r="D21" s="52"/>
      <c r="E21" s="85"/>
      <c r="F21" s="64"/>
      <c r="G21" s="64"/>
      <c r="H21" s="64"/>
      <c r="I21" s="64"/>
      <c r="J21" s="87"/>
      <c r="K21" s="87"/>
      <c r="L21" s="64">
        <f>IF($D21*$C21&gt;=$D22,$D22,$D21*$C21)</f>
        <v>0</v>
      </c>
      <c r="M21" s="64">
        <f t="shared" ref="M21:AI21" si="16">IF($D21*$C21&gt;=L22,L22,$D21*$C21)</f>
        <v>0</v>
      </c>
      <c r="N21" s="64">
        <f t="shared" si="16"/>
        <v>0</v>
      </c>
      <c r="O21" s="64">
        <f t="shared" si="16"/>
        <v>0</v>
      </c>
      <c r="P21" s="64">
        <f t="shared" si="16"/>
        <v>0</v>
      </c>
      <c r="Q21" s="64">
        <f t="shared" si="16"/>
        <v>0</v>
      </c>
      <c r="R21" s="64">
        <f t="shared" si="16"/>
        <v>0</v>
      </c>
      <c r="S21" s="64">
        <f t="shared" si="16"/>
        <v>0</v>
      </c>
      <c r="T21" s="64">
        <f t="shared" si="16"/>
        <v>0</v>
      </c>
      <c r="U21" s="64">
        <f t="shared" si="16"/>
        <v>0</v>
      </c>
      <c r="V21" s="64">
        <f t="shared" si="16"/>
        <v>0</v>
      </c>
      <c r="W21" s="64">
        <f t="shared" si="16"/>
        <v>0</v>
      </c>
      <c r="X21" s="64">
        <f t="shared" si="16"/>
        <v>0</v>
      </c>
      <c r="Y21" s="64">
        <f t="shared" si="16"/>
        <v>0</v>
      </c>
      <c r="Z21" s="64">
        <f t="shared" si="16"/>
        <v>0</v>
      </c>
      <c r="AA21" s="64">
        <f t="shared" si="16"/>
        <v>0</v>
      </c>
      <c r="AB21" s="64">
        <f t="shared" si="16"/>
        <v>0</v>
      </c>
      <c r="AC21" s="64">
        <f t="shared" si="16"/>
        <v>0</v>
      </c>
      <c r="AD21" s="64">
        <f t="shared" si="16"/>
        <v>0</v>
      </c>
      <c r="AE21" s="64">
        <f t="shared" si="16"/>
        <v>0</v>
      </c>
      <c r="AF21" s="64">
        <f t="shared" si="16"/>
        <v>0</v>
      </c>
      <c r="AG21" s="64">
        <f t="shared" si="16"/>
        <v>0</v>
      </c>
      <c r="AH21" s="64">
        <f t="shared" si="16"/>
        <v>0</v>
      </c>
      <c r="AI21" s="86">
        <f t="shared" si="16"/>
        <v>0</v>
      </c>
      <c r="FD21" s="59"/>
    </row>
    <row r="22" spans="1:160">
      <c r="A22" s="60" t="str">
        <f>L3</f>
        <v>Anno 8</v>
      </c>
      <c r="B22" s="59" t="s">
        <v>61</v>
      </c>
      <c r="C22" s="81"/>
      <c r="D22" s="52">
        <f>D21</f>
        <v>0</v>
      </c>
      <c r="E22" s="78"/>
      <c r="L22" s="63">
        <f>$D22-L21</f>
        <v>0</v>
      </c>
      <c r="M22" s="63">
        <f t="shared" ref="M22:AI22" si="17">IF(L22-M21&gt;0,L22-M21,0)</f>
        <v>0</v>
      </c>
      <c r="N22" s="63">
        <f t="shared" si="17"/>
        <v>0</v>
      </c>
      <c r="O22" s="63">
        <f t="shared" si="17"/>
        <v>0</v>
      </c>
      <c r="P22" s="63">
        <f t="shared" si="17"/>
        <v>0</v>
      </c>
      <c r="Q22" s="63">
        <f t="shared" si="17"/>
        <v>0</v>
      </c>
      <c r="R22" s="63">
        <f t="shared" si="17"/>
        <v>0</v>
      </c>
      <c r="S22" s="63">
        <f t="shared" si="17"/>
        <v>0</v>
      </c>
      <c r="T22" s="63">
        <f t="shared" si="17"/>
        <v>0</v>
      </c>
      <c r="U22" s="63">
        <f t="shared" si="17"/>
        <v>0</v>
      </c>
      <c r="V22" s="63">
        <f t="shared" si="17"/>
        <v>0</v>
      </c>
      <c r="W22" s="63">
        <f t="shared" si="17"/>
        <v>0</v>
      </c>
      <c r="X22" s="63">
        <f t="shared" si="17"/>
        <v>0</v>
      </c>
      <c r="Y22" s="63">
        <f t="shared" si="17"/>
        <v>0</v>
      </c>
      <c r="Z22" s="63">
        <f t="shared" si="17"/>
        <v>0</v>
      </c>
      <c r="AA22" s="63">
        <f t="shared" si="17"/>
        <v>0</v>
      </c>
      <c r="AB22" s="63">
        <f t="shared" si="17"/>
        <v>0</v>
      </c>
      <c r="AC22" s="63">
        <f t="shared" si="17"/>
        <v>0</v>
      </c>
      <c r="AD22" s="63">
        <f t="shared" si="17"/>
        <v>0</v>
      </c>
      <c r="AE22" s="63">
        <f t="shared" si="17"/>
        <v>0</v>
      </c>
      <c r="AF22" s="63">
        <f t="shared" si="17"/>
        <v>0</v>
      </c>
      <c r="AG22" s="63">
        <f t="shared" si="17"/>
        <v>0</v>
      </c>
      <c r="AH22" s="63">
        <f t="shared" si="17"/>
        <v>0</v>
      </c>
      <c r="AI22" s="79">
        <f t="shared" si="17"/>
        <v>0</v>
      </c>
    </row>
    <row r="23" spans="1:160" s="80" customFormat="1">
      <c r="A23" s="95" t="str">
        <f>M3</f>
        <v>Anno 9</v>
      </c>
      <c r="B23" s="80" t="str">
        <f>$B5</f>
        <v>Impianti</v>
      </c>
      <c r="C23" s="81">
        <f>$C$5</f>
        <v>0</v>
      </c>
      <c r="D23" s="52"/>
      <c r="E23" s="85"/>
      <c r="F23" s="64"/>
      <c r="G23" s="64"/>
      <c r="H23" s="64"/>
      <c r="I23" s="64"/>
      <c r="J23" s="87"/>
      <c r="K23" s="87"/>
      <c r="L23" s="87"/>
      <c r="M23" s="64">
        <f>IF($D23*$C23&gt;=$D24,$D24,$D23*$C23)</f>
        <v>0</v>
      </c>
      <c r="N23" s="64">
        <f t="shared" ref="N23:AI23" si="18">IF($D23*$C23&gt;=M24,M24,$D23*$C23)</f>
        <v>0</v>
      </c>
      <c r="O23" s="64">
        <f t="shared" si="18"/>
        <v>0</v>
      </c>
      <c r="P23" s="64">
        <f t="shared" si="18"/>
        <v>0</v>
      </c>
      <c r="Q23" s="64">
        <f t="shared" si="18"/>
        <v>0</v>
      </c>
      <c r="R23" s="64">
        <f t="shared" si="18"/>
        <v>0</v>
      </c>
      <c r="S23" s="64">
        <f t="shared" si="18"/>
        <v>0</v>
      </c>
      <c r="T23" s="64">
        <f t="shared" si="18"/>
        <v>0</v>
      </c>
      <c r="U23" s="64">
        <f t="shared" si="18"/>
        <v>0</v>
      </c>
      <c r="V23" s="64">
        <f t="shared" si="18"/>
        <v>0</v>
      </c>
      <c r="W23" s="64">
        <f t="shared" si="18"/>
        <v>0</v>
      </c>
      <c r="X23" s="64">
        <f t="shared" si="18"/>
        <v>0</v>
      </c>
      <c r="Y23" s="64">
        <f t="shared" si="18"/>
        <v>0</v>
      </c>
      <c r="Z23" s="64">
        <f t="shared" si="18"/>
        <v>0</v>
      </c>
      <c r="AA23" s="64">
        <f t="shared" si="18"/>
        <v>0</v>
      </c>
      <c r="AB23" s="64">
        <f t="shared" si="18"/>
        <v>0</v>
      </c>
      <c r="AC23" s="64">
        <f t="shared" si="18"/>
        <v>0</v>
      </c>
      <c r="AD23" s="64">
        <f t="shared" si="18"/>
        <v>0</v>
      </c>
      <c r="AE23" s="64">
        <f t="shared" si="18"/>
        <v>0</v>
      </c>
      <c r="AF23" s="64">
        <f t="shared" si="18"/>
        <v>0</v>
      </c>
      <c r="AG23" s="64">
        <f t="shared" si="18"/>
        <v>0</v>
      </c>
      <c r="AH23" s="64">
        <f t="shared" si="18"/>
        <v>0</v>
      </c>
      <c r="AI23" s="86">
        <f t="shared" si="18"/>
        <v>0</v>
      </c>
      <c r="FD23" s="59"/>
    </row>
    <row r="24" spans="1:160">
      <c r="A24" s="60" t="str">
        <f>M3</f>
        <v>Anno 9</v>
      </c>
      <c r="B24" s="59" t="s">
        <v>61</v>
      </c>
      <c r="C24" s="81"/>
      <c r="D24" s="52">
        <f>D23</f>
        <v>0</v>
      </c>
      <c r="E24" s="78"/>
      <c r="M24" s="63">
        <f>$D24-M23</f>
        <v>0</v>
      </c>
      <c r="N24" s="63">
        <f t="shared" ref="N24:AI24" si="19">IF(M24-N23&gt;0,M24-N23,0)</f>
        <v>0</v>
      </c>
      <c r="O24" s="63">
        <f t="shared" si="19"/>
        <v>0</v>
      </c>
      <c r="P24" s="63">
        <f t="shared" si="19"/>
        <v>0</v>
      </c>
      <c r="Q24" s="63">
        <f t="shared" si="19"/>
        <v>0</v>
      </c>
      <c r="R24" s="63">
        <f t="shared" si="19"/>
        <v>0</v>
      </c>
      <c r="S24" s="63">
        <f t="shared" si="19"/>
        <v>0</v>
      </c>
      <c r="T24" s="63">
        <f t="shared" si="19"/>
        <v>0</v>
      </c>
      <c r="U24" s="63">
        <f t="shared" si="19"/>
        <v>0</v>
      </c>
      <c r="V24" s="63">
        <f t="shared" si="19"/>
        <v>0</v>
      </c>
      <c r="W24" s="63">
        <f t="shared" si="19"/>
        <v>0</v>
      </c>
      <c r="X24" s="63">
        <f t="shared" si="19"/>
        <v>0</v>
      </c>
      <c r="Y24" s="63">
        <f t="shared" si="19"/>
        <v>0</v>
      </c>
      <c r="Z24" s="63">
        <f t="shared" si="19"/>
        <v>0</v>
      </c>
      <c r="AA24" s="63">
        <f t="shared" si="19"/>
        <v>0</v>
      </c>
      <c r="AB24" s="63">
        <f t="shared" si="19"/>
        <v>0</v>
      </c>
      <c r="AC24" s="63">
        <f t="shared" si="19"/>
        <v>0</v>
      </c>
      <c r="AD24" s="63">
        <f t="shared" si="19"/>
        <v>0</v>
      </c>
      <c r="AE24" s="63">
        <f t="shared" si="19"/>
        <v>0</v>
      </c>
      <c r="AF24" s="63">
        <f t="shared" si="19"/>
        <v>0</v>
      </c>
      <c r="AG24" s="63">
        <f t="shared" si="19"/>
        <v>0</v>
      </c>
      <c r="AH24" s="63">
        <f t="shared" si="19"/>
        <v>0</v>
      </c>
      <c r="AI24" s="79">
        <f t="shared" si="19"/>
        <v>0</v>
      </c>
    </row>
    <row r="25" spans="1:160" s="80" customFormat="1">
      <c r="A25" s="95" t="str">
        <f>N3</f>
        <v>Anno 10</v>
      </c>
      <c r="B25" s="80" t="str">
        <f>$B5</f>
        <v>Impianti</v>
      </c>
      <c r="C25" s="81">
        <f>$C$5</f>
        <v>0</v>
      </c>
      <c r="D25" s="52"/>
      <c r="E25" s="85"/>
      <c r="F25" s="64"/>
      <c r="G25" s="64"/>
      <c r="H25" s="64"/>
      <c r="I25" s="64"/>
      <c r="J25" s="87"/>
      <c r="K25" s="87"/>
      <c r="L25" s="87"/>
      <c r="M25" s="87"/>
      <c r="N25" s="64">
        <f>IF($D25*$C25&gt;=$D26,$D26,$D25*$C25)</f>
        <v>0</v>
      </c>
      <c r="O25" s="64">
        <f t="shared" ref="O25:AI25" si="20">IF($D25*$C25&gt;=N26,N26,$D25*$C25)</f>
        <v>0</v>
      </c>
      <c r="P25" s="64">
        <f t="shared" si="20"/>
        <v>0</v>
      </c>
      <c r="Q25" s="64">
        <f t="shared" si="20"/>
        <v>0</v>
      </c>
      <c r="R25" s="64">
        <f t="shared" si="20"/>
        <v>0</v>
      </c>
      <c r="S25" s="64">
        <f t="shared" si="20"/>
        <v>0</v>
      </c>
      <c r="T25" s="64">
        <f t="shared" si="20"/>
        <v>0</v>
      </c>
      <c r="U25" s="64">
        <f t="shared" si="20"/>
        <v>0</v>
      </c>
      <c r="V25" s="64">
        <f t="shared" si="20"/>
        <v>0</v>
      </c>
      <c r="W25" s="64">
        <f t="shared" si="20"/>
        <v>0</v>
      </c>
      <c r="X25" s="64">
        <f t="shared" si="20"/>
        <v>0</v>
      </c>
      <c r="Y25" s="64">
        <f t="shared" si="20"/>
        <v>0</v>
      </c>
      <c r="Z25" s="64">
        <f t="shared" si="20"/>
        <v>0</v>
      </c>
      <c r="AA25" s="64">
        <f t="shared" si="20"/>
        <v>0</v>
      </c>
      <c r="AB25" s="64">
        <f t="shared" si="20"/>
        <v>0</v>
      </c>
      <c r="AC25" s="64">
        <f t="shared" si="20"/>
        <v>0</v>
      </c>
      <c r="AD25" s="64">
        <f t="shared" si="20"/>
        <v>0</v>
      </c>
      <c r="AE25" s="64">
        <f t="shared" si="20"/>
        <v>0</v>
      </c>
      <c r="AF25" s="64">
        <f t="shared" si="20"/>
        <v>0</v>
      </c>
      <c r="AG25" s="64">
        <f t="shared" si="20"/>
        <v>0</v>
      </c>
      <c r="AH25" s="64">
        <f t="shared" si="20"/>
        <v>0</v>
      </c>
      <c r="AI25" s="86">
        <f t="shared" si="20"/>
        <v>0</v>
      </c>
      <c r="FD25" s="59"/>
    </row>
    <row r="26" spans="1:160">
      <c r="A26" s="60" t="str">
        <f>N3</f>
        <v>Anno 10</v>
      </c>
      <c r="B26" s="59" t="s">
        <v>61</v>
      </c>
      <c r="C26" s="81"/>
      <c r="D26" s="52">
        <f>D25</f>
        <v>0</v>
      </c>
      <c r="E26" s="78"/>
      <c r="N26" s="63">
        <f>$D26-N25</f>
        <v>0</v>
      </c>
      <c r="O26" s="63">
        <f t="shared" ref="O26:AI26" si="21">IF(N26-O25&gt;0,N26-O25,0)</f>
        <v>0</v>
      </c>
      <c r="P26" s="63">
        <f t="shared" si="21"/>
        <v>0</v>
      </c>
      <c r="Q26" s="63">
        <f t="shared" si="21"/>
        <v>0</v>
      </c>
      <c r="R26" s="63">
        <f t="shared" si="21"/>
        <v>0</v>
      </c>
      <c r="S26" s="63">
        <f t="shared" si="21"/>
        <v>0</v>
      </c>
      <c r="T26" s="63">
        <f t="shared" si="21"/>
        <v>0</v>
      </c>
      <c r="U26" s="63">
        <f t="shared" si="21"/>
        <v>0</v>
      </c>
      <c r="V26" s="63">
        <f t="shared" si="21"/>
        <v>0</v>
      </c>
      <c r="W26" s="63">
        <f t="shared" si="21"/>
        <v>0</v>
      </c>
      <c r="X26" s="63">
        <f t="shared" si="21"/>
        <v>0</v>
      </c>
      <c r="Y26" s="63">
        <f t="shared" si="21"/>
        <v>0</v>
      </c>
      <c r="Z26" s="63">
        <f t="shared" si="21"/>
        <v>0</v>
      </c>
      <c r="AA26" s="63">
        <f t="shared" si="21"/>
        <v>0</v>
      </c>
      <c r="AB26" s="63">
        <f t="shared" si="21"/>
        <v>0</v>
      </c>
      <c r="AC26" s="63">
        <f t="shared" si="21"/>
        <v>0</v>
      </c>
      <c r="AD26" s="63">
        <f t="shared" si="21"/>
        <v>0</v>
      </c>
      <c r="AE26" s="63">
        <f t="shared" si="21"/>
        <v>0</v>
      </c>
      <c r="AF26" s="63">
        <f t="shared" si="21"/>
        <v>0</v>
      </c>
      <c r="AG26" s="63">
        <f t="shared" si="21"/>
        <v>0</v>
      </c>
      <c r="AH26" s="63">
        <f t="shared" si="21"/>
        <v>0</v>
      </c>
      <c r="AI26" s="79">
        <f t="shared" si="21"/>
        <v>0</v>
      </c>
    </row>
    <row r="27" spans="1:160" s="80" customFormat="1">
      <c r="A27" s="95" t="str">
        <f>O3</f>
        <v>Anno 11</v>
      </c>
      <c r="B27" s="80" t="str">
        <f>$B5</f>
        <v>Impianti</v>
      </c>
      <c r="C27" s="81">
        <f>$C$5</f>
        <v>0</v>
      </c>
      <c r="D27" s="52"/>
      <c r="E27" s="85"/>
      <c r="F27" s="64"/>
      <c r="G27" s="64"/>
      <c r="H27" s="64"/>
      <c r="I27" s="64"/>
      <c r="J27" s="87"/>
      <c r="K27" s="87"/>
      <c r="L27" s="87"/>
      <c r="M27" s="87"/>
      <c r="N27" s="87"/>
      <c r="O27" s="64">
        <f>IF($D27*$C27&gt;=$D28,$D28,$D27*$C27)</f>
        <v>0</v>
      </c>
      <c r="P27" s="64">
        <f t="shared" ref="P27:AI27" si="22">IF($D27*$C27&gt;=O28,O28,$D27*$C27)</f>
        <v>0</v>
      </c>
      <c r="Q27" s="64">
        <f t="shared" si="22"/>
        <v>0</v>
      </c>
      <c r="R27" s="64">
        <f t="shared" si="22"/>
        <v>0</v>
      </c>
      <c r="S27" s="64">
        <f t="shared" si="22"/>
        <v>0</v>
      </c>
      <c r="T27" s="64">
        <f t="shared" si="22"/>
        <v>0</v>
      </c>
      <c r="U27" s="64">
        <f t="shared" si="22"/>
        <v>0</v>
      </c>
      <c r="V27" s="64">
        <f t="shared" si="22"/>
        <v>0</v>
      </c>
      <c r="W27" s="64">
        <f t="shared" si="22"/>
        <v>0</v>
      </c>
      <c r="X27" s="64">
        <f t="shared" si="22"/>
        <v>0</v>
      </c>
      <c r="Y27" s="64">
        <f t="shared" si="22"/>
        <v>0</v>
      </c>
      <c r="Z27" s="64">
        <f t="shared" si="22"/>
        <v>0</v>
      </c>
      <c r="AA27" s="64">
        <f t="shared" si="22"/>
        <v>0</v>
      </c>
      <c r="AB27" s="64">
        <f t="shared" si="22"/>
        <v>0</v>
      </c>
      <c r="AC27" s="64">
        <f t="shared" si="22"/>
        <v>0</v>
      </c>
      <c r="AD27" s="64">
        <f t="shared" si="22"/>
        <v>0</v>
      </c>
      <c r="AE27" s="64">
        <f t="shared" si="22"/>
        <v>0</v>
      </c>
      <c r="AF27" s="64">
        <f t="shared" si="22"/>
        <v>0</v>
      </c>
      <c r="AG27" s="64">
        <f t="shared" si="22"/>
        <v>0</v>
      </c>
      <c r="AH27" s="64">
        <f t="shared" si="22"/>
        <v>0</v>
      </c>
      <c r="AI27" s="86">
        <f t="shared" si="22"/>
        <v>0</v>
      </c>
      <c r="FD27" s="59"/>
    </row>
    <row r="28" spans="1:160">
      <c r="A28" s="60" t="str">
        <f>O3</f>
        <v>Anno 11</v>
      </c>
      <c r="B28" s="59" t="s">
        <v>61</v>
      </c>
      <c r="C28" s="81"/>
      <c r="D28" s="52">
        <f>D27</f>
        <v>0</v>
      </c>
      <c r="E28" s="78"/>
      <c r="O28" s="63">
        <f>$D28-O27</f>
        <v>0</v>
      </c>
      <c r="P28" s="63">
        <f t="shared" ref="P28:AI28" si="23">IF(O28-P27&gt;0,O28-P27,0)</f>
        <v>0</v>
      </c>
      <c r="Q28" s="63">
        <f t="shared" si="23"/>
        <v>0</v>
      </c>
      <c r="R28" s="63">
        <f t="shared" si="23"/>
        <v>0</v>
      </c>
      <c r="S28" s="63">
        <f t="shared" si="23"/>
        <v>0</v>
      </c>
      <c r="T28" s="63">
        <f t="shared" si="23"/>
        <v>0</v>
      </c>
      <c r="U28" s="63">
        <f t="shared" si="23"/>
        <v>0</v>
      </c>
      <c r="V28" s="63">
        <f t="shared" si="23"/>
        <v>0</v>
      </c>
      <c r="W28" s="63">
        <f t="shared" si="23"/>
        <v>0</v>
      </c>
      <c r="X28" s="63">
        <f t="shared" si="23"/>
        <v>0</v>
      </c>
      <c r="Y28" s="63">
        <f t="shared" si="23"/>
        <v>0</v>
      </c>
      <c r="Z28" s="63">
        <f t="shared" si="23"/>
        <v>0</v>
      </c>
      <c r="AA28" s="63">
        <f t="shared" si="23"/>
        <v>0</v>
      </c>
      <c r="AB28" s="63">
        <f t="shared" si="23"/>
        <v>0</v>
      </c>
      <c r="AC28" s="63">
        <f t="shared" si="23"/>
        <v>0</v>
      </c>
      <c r="AD28" s="63">
        <f t="shared" si="23"/>
        <v>0</v>
      </c>
      <c r="AE28" s="63">
        <f t="shared" si="23"/>
        <v>0</v>
      </c>
      <c r="AF28" s="63">
        <f t="shared" si="23"/>
        <v>0</v>
      </c>
      <c r="AG28" s="63">
        <f t="shared" si="23"/>
        <v>0</v>
      </c>
      <c r="AH28" s="63">
        <f t="shared" si="23"/>
        <v>0</v>
      </c>
      <c r="AI28" s="79">
        <f t="shared" si="23"/>
        <v>0</v>
      </c>
    </row>
    <row r="29" spans="1:160" s="80" customFormat="1">
      <c r="A29" s="95" t="str">
        <f>P3</f>
        <v>Anno 12</v>
      </c>
      <c r="B29" s="80" t="str">
        <f>$B5</f>
        <v>Impianti</v>
      </c>
      <c r="C29" s="81">
        <f>$C$5</f>
        <v>0</v>
      </c>
      <c r="D29" s="52"/>
      <c r="E29" s="85"/>
      <c r="F29" s="64"/>
      <c r="G29" s="64"/>
      <c r="H29" s="64"/>
      <c r="I29" s="64"/>
      <c r="J29" s="87"/>
      <c r="K29" s="87"/>
      <c r="L29" s="87"/>
      <c r="M29" s="87"/>
      <c r="N29" s="87"/>
      <c r="O29" s="87"/>
      <c r="P29" s="64">
        <f>IF($D29*$C29&gt;=$D30,$D30,$D29*$C29)</f>
        <v>0</v>
      </c>
      <c r="Q29" s="64">
        <f t="shared" ref="Q29:AI29" si="24">IF($D29*$C29&gt;=P30,P30,$D29*$C29)</f>
        <v>0</v>
      </c>
      <c r="R29" s="64">
        <f t="shared" si="24"/>
        <v>0</v>
      </c>
      <c r="S29" s="64">
        <f t="shared" si="24"/>
        <v>0</v>
      </c>
      <c r="T29" s="64">
        <f t="shared" si="24"/>
        <v>0</v>
      </c>
      <c r="U29" s="64">
        <f t="shared" si="24"/>
        <v>0</v>
      </c>
      <c r="V29" s="64">
        <f t="shared" si="24"/>
        <v>0</v>
      </c>
      <c r="W29" s="64">
        <f t="shared" si="24"/>
        <v>0</v>
      </c>
      <c r="X29" s="64">
        <f t="shared" si="24"/>
        <v>0</v>
      </c>
      <c r="Y29" s="64">
        <f t="shared" si="24"/>
        <v>0</v>
      </c>
      <c r="Z29" s="64">
        <f t="shared" si="24"/>
        <v>0</v>
      </c>
      <c r="AA29" s="64">
        <f t="shared" si="24"/>
        <v>0</v>
      </c>
      <c r="AB29" s="64">
        <f t="shared" si="24"/>
        <v>0</v>
      </c>
      <c r="AC29" s="64">
        <f t="shared" si="24"/>
        <v>0</v>
      </c>
      <c r="AD29" s="64">
        <f t="shared" si="24"/>
        <v>0</v>
      </c>
      <c r="AE29" s="64">
        <f t="shared" si="24"/>
        <v>0</v>
      </c>
      <c r="AF29" s="64">
        <f t="shared" si="24"/>
        <v>0</v>
      </c>
      <c r="AG29" s="64">
        <f t="shared" si="24"/>
        <v>0</v>
      </c>
      <c r="AH29" s="64">
        <f t="shared" si="24"/>
        <v>0</v>
      </c>
      <c r="AI29" s="86">
        <f t="shared" si="24"/>
        <v>0</v>
      </c>
      <c r="FD29" s="59"/>
    </row>
    <row r="30" spans="1:160">
      <c r="A30" s="60" t="str">
        <f>P3</f>
        <v>Anno 12</v>
      </c>
      <c r="B30" s="59" t="s">
        <v>61</v>
      </c>
      <c r="C30" s="88"/>
      <c r="D30" s="52">
        <f>D29</f>
        <v>0</v>
      </c>
      <c r="E30" s="78"/>
      <c r="P30" s="63">
        <f>$D30-P29</f>
        <v>0</v>
      </c>
      <c r="Q30" s="63">
        <f t="shared" ref="Q30:AI30" si="25">IF(P30-Q29&gt;0,P30-Q29,0)</f>
        <v>0</v>
      </c>
      <c r="R30" s="63">
        <f t="shared" si="25"/>
        <v>0</v>
      </c>
      <c r="S30" s="63">
        <f t="shared" si="25"/>
        <v>0</v>
      </c>
      <c r="T30" s="63">
        <f t="shared" si="25"/>
        <v>0</v>
      </c>
      <c r="U30" s="63">
        <f t="shared" si="25"/>
        <v>0</v>
      </c>
      <c r="V30" s="63">
        <f t="shared" si="25"/>
        <v>0</v>
      </c>
      <c r="W30" s="63">
        <f t="shared" si="25"/>
        <v>0</v>
      </c>
      <c r="X30" s="63">
        <f t="shared" si="25"/>
        <v>0</v>
      </c>
      <c r="Y30" s="63">
        <f t="shared" si="25"/>
        <v>0</v>
      </c>
      <c r="Z30" s="63">
        <f t="shared" si="25"/>
        <v>0</v>
      </c>
      <c r="AA30" s="63">
        <f t="shared" si="25"/>
        <v>0</v>
      </c>
      <c r="AB30" s="63">
        <f t="shared" si="25"/>
        <v>0</v>
      </c>
      <c r="AC30" s="63">
        <f t="shared" si="25"/>
        <v>0</v>
      </c>
      <c r="AD30" s="63">
        <f t="shared" si="25"/>
        <v>0</v>
      </c>
      <c r="AE30" s="63">
        <f t="shared" si="25"/>
        <v>0</v>
      </c>
      <c r="AF30" s="63">
        <f t="shared" si="25"/>
        <v>0</v>
      </c>
      <c r="AG30" s="63">
        <f t="shared" si="25"/>
        <v>0</v>
      </c>
      <c r="AH30" s="63">
        <f t="shared" si="25"/>
        <v>0</v>
      </c>
      <c r="AI30" s="79">
        <f t="shared" si="25"/>
        <v>0</v>
      </c>
    </row>
    <row r="31" spans="1:160">
      <c r="A31" s="95" t="str">
        <f>Q3</f>
        <v>Anno 13</v>
      </c>
      <c r="B31" s="80" t="str">
        <f>$B29</f>
        <v>Impianti</v>
      </c>
      <c r="C31" s="81">
        <f>$C$5</f>
        <v>0</v>
      </c>
      <c r="D31" s="52"/>
      <c r="E31" s="78"/>
      <c r="Q31" s="64">
        <f>IF($D31*$C31&gt;=$D32,$D32,$D31*$C31)</f>
        <v>0</v>
      </c>
      <c r="R31" s="64">
        <f t="shared" ref="R31:AI31" si="26">IF($D31*$C31&gt;=Q32,Q32,$D31*$C31)</f>
        <v>0</v>
      </c>
      <c r="S31" s="64">
        <f t="shared" si="26"/>
        <v>0</v>
      </c>
      <c r="T31" s="64">
        <f t="shared" si="26"/>
        <v>0</v>
      </c>
      <c r="U31" s="64">
        <f t="shared" si="26"/>
        <v>0</v>
      </c>
      <c r="V31" s="64">
        <f t="shared" si="26"/>
        <v>0</v>
      </c>
      <c r="W31" s="64">
        <f t="shared" si="26"/>
        <v>0</v>
      </c>
      <c r="X31" s="64">
        <f t="shared" si="26"/>
        <v>0</v>
      </c>
      <c r="Y31" s="64">
        <f t="shared" si="26"/>
        <v>0</v>
      </c>
      <c r="Z31" s="64">
        <f t="shared" si="26"/>
        <v>0</v>
      </c>
      <c r="AA31" s="64">
        <f t="shared" si="26"/>
        <v>0</v>
      </c>
      <c r="AB31" s="64">
        <f t="shared" si="26"/>
        <v>0</v>
      </c>
      <c r="AC31" s="64">
        <f t="shared" si="26"/>
        <v>0</v>
      </c>
      <c r="AD31" s="64">
        <f t="shared" si="26"/>
        <v>0</v>
      </c>
      <c r="AE31" s="64">
        <f t="shared" si="26"/>
        <v>0</v>
      </c>
      <c r="AF31" s="64">
        <f t="shared" si="26"/>
        <v>0</v>
      </c>
      <c r="AG31" s="64">
        <f t="shared" si="26"/>
        <v>0</v>
      </c>
      <c r="AH31" s="64">
        <f t="shared" si="26"/>
        <v>0</v>
      </c>
      <c r="AI31" s="86">
        <f t="shared" si="26"/>
        <v>0</v>
      </c>
    </row>
    <row r="32" spans="1:160">
      <c r="A32" s="60" t="str">
        <f>Q3</f>
        <v>Anno 13</v>
      </c>
      <c r="B32" s="59" t="s">
        <v>61</v>
      </c>
      <c r="C32" s="81"/>
      <c r="D32" s="52">
        <f>D31</f>
        <v>0</v>
      </c>
      <c r="E32" s="78"/>
      <c r="Q32" s="63">
        <f>$D32-Q31</f>
        <v>0</v>
      </c>
      <c r="R32" s="63">
        <f t="shared" ref="R32:AI32" si="27">IF(Q32-R31&gt;0,Q32-R31,0)</f>
        <v>0</v>
      </c>
      <c r="S32" s="63">
        <f t="shared" si="27"/>
        <v>0</v>
      </c>
      <c r="T32" s="63">
        <f t="shared" si="27"/>
        <v>0</v>
      </c>
      <c r="U32" s="63">
        <f t="shared" si="27"/>
        <v>0</v>
      </c>
      <c r="V32" s="63">
        <f t="shared" si="27"/>
        <v>0</v>
      </c>
      <c r="W32" s="63">
        <f t="shared" si="27"/>
        <v>0</v>
      </c>
      <c r="X32" s="63">
        <f t="shared" si="27"/>
        <v>0</v>
      </c>
      <c r="Y32" s="63">
        <f t="shared" si="27"/>
        <v>0</v>
      </c>
      <c r="Z32" s="63">
        <f t="shared" si="27"/>
        <v>0</v>
      </c>
      <c r="AA32" s="63">
        <f t="shared" si="27"/>
        <v>0</v>
      </c>
      <c r="AB32" s="63">
        <f t="shared" si="27"/>
        <v>0</v>
      </c>
      <c r="AC32" s="63">
        <f t="shared" si="27"/>
        <v>0</v>
      </c>
      <c r="AD32" s="63">
        <f t="shared" si="27"/>
        <v>0</v>
      </c>
      <c r="AE32" s="63">
        <f t="shared" si="27"/>
        <v>0</v>
      </c>
      <c r="AF32" s="63">
        <f t="shared" si="27"/>
        <v>0</v>
      </c>
      <c r="AG32" s="63">
        <f t="shared" si="27"/>
        <v>0</v>
      </c>
      <c r="AH32" s="63">
        <f t="shared" si="27"/>
        <v>0</v>
      </c>
      <c r="AI32" s="79">
        <f t="shared" si="27"/>
        <v>0</v>
      </c>
    </row>
    <row r="33" spans="1:35">
      <c r="A33" s="95" t="str">
        <f>R3</f>
        <v>Anno 14</v>
      </c>
      <c r="B33" s="80" t="str">
        <f>$B29</f>
        <v>Impianti</v>
      </c>
      <c r="C33" s="81">
        <f>$C$5</f>
        <v>0</v>
      </c>
      <c r="D33" s="52"/>
      <c r="E33" s="78"/>
      <c r="Q33" s="64"/>
      <c r="R33" s="64">
        <f>IF($D33*$C33&gt;=$D34,$D34,$D33*$C33)</f>
        <v>0</v>
      </c>
      <c r="S33" s="64">
        <f t="shared" ref="S33:AI33" si="28">IF($D33*$C33&gt;=R34,R34,$D33*$C33)</f>
        <v>0</v>
      </c>
      <c r="T33" s="64">
        <f t="shared" si="28"/>
        <v>0</v>
      </c>
      <c r="U33" s="64">
        <f t="shared" si="28"/>
        <v>0</v>
      </c>
      <c r="V33" s="64">
        <f t="shared" si="28"/>
        <v>0</v>
      </c>
      <c r="W33" s="64">
        <f t="shared" si="28"/>
        <v>0</v>
      </c>
      <c r="X33" s="64">
        <f t="shared" si="28"/>
        <v>0</v>
      </c>
      <c r="Y33" s="64">
        <f t="shared" si="28"/>
        <v>0</v>
      </c>
      <c r="Z33" s="64">
        <f t="shared" si="28"/>
        <v>0</v>
      </c>
      <c r="AA33" s="64">
        <f t="shared" si="28"/>
        <v>0</v>
      </c>
      <c r="AB33" s="64">
        <f t="shared" si="28"/>
        <v>0</v>
      </c>
      <c r="AC33" s="64">
        <f t="shared" si="28"/>
        <v>0</v>
      </c>
      <c r="AD33" s="64">
        <f t="shared" si="28"/>
        <v>0</v>
      </c>
      <c r="AE33" s="64">
        <f t="shared" si="28"/>
        <v>0</v>
      </c>
      <c r="AF33" s="64">
        <f t="shared" si="28"/>
        <v>0</v>
      </c>
      <c r="AG33" s="64">
        <f t="shared" si="28"/>
        <v>0</v>
      </c>
      <c r="AH33" s="64">
        <f t="shared" si="28"/>
        <v>0</v>
      </c>
      <c r="AI33" s="86">
        <f t="shared" si="28"/>
        <v>0</v>
      </c>
    </row>
    <row r="34" spans="1:35">
      <c r="A34" s="60" t="str">
        <f>R3</f>
        <v>Anno 14</v>
      </c>
      <c r="B34" s="59" t="s">
        <v>61</v>
      </c>
      <c r="C34" s="81"/>
      <c r="D34" s="52">
        <f>D33</f>
        <v>0</v>
      </c>
      <c r="E34" s="78"/>
      <c r="Q34" s="63"/>
      <c r="R34" s="63">
        <f>$D34-R33</f>
        <v>0</v>
      </c>
      <c r="S34" s="63">
        <f t="shared" ref="S34:AI34" si="29">IF(R34-S33&gt;0,R34-S33,0)</f>
        <v>0</v>
      </c>
      <c r="T34" s="63">
        <f t="shared" si="29"/>
        <v>0</v>
      </c>
      <c r="U34" s="63">
        <f t="shared" si="29"/>
        <v>0</v>
      </c>
      <c r="V34" s="63">
        <f t="shared" si="29"/>
        <v>0</v>
      </c>
      <c r="W34" s="63">
        <f t="shared" si="29"/>
        <v>0</v>
      </c>
      <c r="X34" s="63">
        <f t="shared" si="29"/>
        <v>0</v>
      </c>
      <c r="Y34" s="63">
        <f t="shared" si="29"/>
        <v>0</v>
      </c>
      <c r="Z34" s="63">
        <f t="shared" si="29"/>
        <v>0</v>
      </c>
      <c r="AA34" s="63">
        <f t="shared" si="29"/>
        <v>0</v>
      </c>
      <c r="AB34" s="63">
        <f t="shared" si="29"/>
        <v>0</v>
      </c>
      <c r="AC34" s="63">
        <f t="shared" si="29"/>
        <v>0</v>
      </c>
      <c r="AD34" s="63">
        <f t="shared" si="29"/>
        <v>0</v>
      </c>
      <c r="AE34" s="63">
        <f t="shared" si="29"/>
        <v>0</v>
      </c>
      <c r="AF34" s="63">
        <f t="shared" si="29"/>
        <v>0</v>
      </c>
      <c r="AG34" s="63">
        <f t="shared" si="29"/>
        <v>0</v>
      </c>
      <c r="AH34" s="63">
        <f t="shared" si="29"/>
        <v>0</v>
      </c>
      <c r="AI34" s="79">
        <f t="shared" si="29"/>
        <v>0</v>
      </c>
    </row>
    <row r="35" spans="1:35">
      <c r="A35" s="95" t="str">
        <f>S3</f>
        <v>Anno 15</v>
      </c>
      <c r="B35" s="80" t="str">
        <f>$B29</f>
        <v>Impianti</v>
      </c>
      <c r="C35" s="81">
        <f>$C$5</f>
        <v>0</v>
      </c>
      <c r="D35" s="52"/>
      <c r="E35" s="78"/>
      <c r="Q35" s="64"/>
      <c r="R35" s="64"/>
      <c r="S35" s="64">
        <f>IF($D35*$C35&gt;=$D36,$D36,$D35*$C35)</f>
        <v>0</v>
      </c>
      <c r="T35" s="64">
        <f t="shared" ref="T35:AI35" si="30">IF($D35*$C35&gt;=S36,S36,$D35*$C35)</f>
        <v>0</v>
      </c>
      <c r="U35" s="64">
        <f t="shared" si="30"/>
        <v>0</v>
      </c>
      <c r="V35" s="64">
        <f t="shared" si="30"/>
        <v>0</v>
      </c>
      <c r="W35" s="64">
        <f t="shared" si="30"/>
        <v>0</v>
      </c>
      <c r="X35" s="64">
        <f t="shared" si="30"/>
        <v>0</v>
      </c>
      <c r="Y35" s="64">
        <f t="shared" si="30"/>
        <v>0</v>
      </c>
      <c r="Z35" s="64">
        <f t="shared" si="30"/>
        <v>0</v>
      </c>
      <c r="AA35" s="64">
        <f t="shared" si="30"/>
        <v>0</v>
      </c>
      <c r="AB35" s="64">
        <f t="shared" si="30"/>
        <v>0</v>
      </c>
      <c r="AC35" s="64">
        <f t="shared" si="30"/>
        <v>0</v>
      </c>
      <c r="AD35" s="64">
        <f t="shared" si="30"/>
        <v>0</v>
      </c>
      <c r="AE35" s="64">
        <f t="shared" si="30"/>
        <v>0</v>
      </c>
      <c r="AF35" s="64">
        <f t="shared" si="30"/>
        <v>0</v>
      </c>
      <c r="AG35" s="64">
        <f t="shared" si="30"/>
        <v>0</v>
      </c>
      <c r="AH35" s="64">
        <f t="shared" si="30"/>
        <v>0</v>
      </c>
      <c r="AI35" s="86">
        <f t="shared" si="30"/>
        <v>0</v>
      </c>
    </row>
    <row r="36" spans="1:35">
      <c r="A36" s="60" t="str">
        <f>S3</f>
        <v>Anno 15</v>
      </c>
      <c r="B36" s="59" t="s">
        <v>61</v>
      </c>
      <c r="C36" s="81"/>
      <c r="D36" s="52">
        <f>D35</f>
        <v>0</v>
      </c>
      <c r="E36" s="78"/>
      <c r="Q36" s="63"/>
      <c r="R36" s="63"/>
      <c r="S36" s="63">
        <f>$D36-S35</f>
        <v>0</v>
      </c>
      <c r="T36" s="63">
        <f t="shared" ref="T36:AI36" si="31">IF(S36-T35&gt;0,S36-T35,0)</f>
        <v>0</v>
      </c>
      <c r="U36" s="63">
        <f t="shared" si="31"/>
        <v>0</v>
      </c>
      <c r="V36" s="63">
        <f t="shared" si="31"/>
        <v>0</v>
      </c>
      <c r="W36" s="63">
        <f t="shared" si="31"/>
        <v>0</v>
      </c>
      <c r="X36" s="63">
        <f t="shared" si="31"/>
        <v>0</v>
      </c>
      <c r="Y36" s="63">
        <f t="shared" si="31"/>
        <v>0</v>
      </c>
      <c r="Z36" s="63">
        <f t="shared" si="31"/>
        <v>0</v>
      </c>
      <c r="AA36" s="63">
        <f t="shared" si="31"/>
        <v>0</v>
      </c>
      <c r="AB36" s="63">
        <f t="shared" si="31"/>
        <v>0</v>
      </c>
      <c r="AC36" s="63">
        <f t="shared" si="31"/>
        <v>0</v>
      </c>
      <c r="AD36" s="63">
        <f t="shared" si="31"/>
        <v>0</v>
      </c>
      <c r="AE36" s="63">
        <f t="shared" si="31"/>
        <v>0</v>
      </c>
      <c r="AF36" s="63">
        <f t="shared" si="31"/>
        <v>0</v>
      </c>
      <c r="AG36" s="63">
        <f t="shared" si="31"/>
        <v>0</v>
      </c>
      <c r="AH36" s="63">
        <f t="shared" si="31"/>
        <v>0</v>
      </c>
      <c r="AI36" s="79">
        <f t="shared" si="31"/>
        <v>0</v>
      </c>
    </row>
    <row r="37" spans="1:35">
      <c r="A37" s="95" t="str">
        <f>T3</f>
        <v>Anno 16</v>
      </c>
      <c r="B37" s="80" t="str">
        <f>$B29</f>
        <v>Impianti</v>
      </c>
      <c r="C37" s="81">
        <f>$C$5</f>
        <v>0</v>
      </c>
      <c r="D37" s="52"/>
      <c r="E37" s="78"/>
      <c r="Q37" s="64"/>
      <c r="R37" s="64"/>
      <c r="S37" s="64"/>
      <c r="T37" s="64">
        <f>IF($D37*$C37&gt;=$D38,$D38,$D37*$C37)</f>
        <v>0</v>
      </c>
      <c r="U37" s="64">
        <f t="shared" ref="U37:AI37" si="32">IF($D37*$C37&gt;=T38,T38,$D37*$C37)</f>
        <v>0</v>
      </c>
      <c r="V37" s="64">
        <f t="shared" si="32"/>
        <v>0</v>
      </c>
      <c r="W37" s="64">
        <f t="shared" si="32"/>
        <v>0</v>
      </c>
      <c r="X37" s="64">
        <f t="shared" si="32"/>
        <v>0</v>
      </c>
      <c r="Y37" s="64">
        <f t="shared" si="32"/>
        <v>0</v>
      </c>
      <c r="Z37" s="64">
        <f t="shared" si="32"/>
        <v>0</v>
      </c>
      <c r="AA37" s="64">
        <f t="shared" si="32"/>
        <v>0</v>
      </c>
      <c r="AB37" s="64">
        <f t="shared" si="32"/>
        <v>0</v>
      </c>
      <c r="AC37" s="64">
        <f t="shared" si="32"/>
        <v>0</v>
      </c>
      <c r="AD37" s="64">
        <f t="shared" si="32"/>
        <v>0</v>
      </c>
      <c r="AE37" s="64">
        <f t="shared" si="32"/>
        <v>0</v>
      </c>
      <c r="AF37" s="64">
        <f t="shared" si="32"/>
        <v>0</v>
      </c>
      <c r="AG37" s="64">
        <f t="shared" si="32"/>
        <v>0</v>
      </c>
      <c r="AH37" s="64">
        <f t="shared" si="32"/>
        <v>0</v>
      </c>
      <c r="AI37" s="86">
        <f t="shared" si="32"/>
        <v>0</v>
      </c>
    </row>
    <row r="38" spans="1:35">
      <c r="A38" s="60" t="str">
        <f>T3</f>
        <v>Anno 16</v>
      </c>
      <c r="B38" s="59" t="s">
        <v>61</v>
      </c>
      <c r="C38" s="81"/>
      <c r="D38" s="52">
        <f>D37</f>
        <v>0</v>
      </c>
      <c r="E38" s="78"/>
      <c r="Q38" s="63"/>
      <c r="R38" s="63"/>
      <c r="S38" s="63"/>
      <c r="T38" s="63">
        <f>$D38-T37</f>
        <v>0</v>
      </c>
      <c r="U38" s="63">
        <f t="shared" ref="U38:AI38" si="33">IF(T38-U37&gt;0,T38-U37,0)</f>
        <v>0</v>
      </c>
      <c r="V38" s="63">
        <f t="shared" si="33"/>
        <v>0</v>
      </c>
      <c r="W38" s="63">
        <f t="shared" si="33"/>
        <v>0</v>
      </c>
      <c r="X38" s="63">
        <f t="shared" si="33"/>
        <v>0</v>
      </c>
      <c r="Y38" s="63">
        <f t="shared" si="33"/>
        <v>0</v>
      </c>
      <c r="Z38" s="63">
        <f t="shared" si="33"/>
        <v>0</v>
      </c>
      <c r="AA38" s="63">
        <f t="shared" si="33"/>
        <v>0</v>
      </c>
      <c r="AB38" s="63">
        <f t="shared" si="33"/>
        <v>0</v>
      </c>
      <c r="AC38" s="63">
        <f t="shared" si="33"/>
        <v>0</v>
      </c>
      <c r="AD38" s="63">
        <f t="shared" si="33"/>
        <v>0</v>
      </c>
      <c r="AE38" s="63">
        <f t="shared" si="33"/>
        <v>0</v>
      </c>
      <c r="AF38" s="63">
        <f t="shared" si="33"/>
        <v>0</v>
      </c>
      <c r="AG38" s="63">
        <f t="shared" si="33"/>
        <v>0</v>
      </c>
      <c r="AH38" s="63">
        <f t="shared" si="33"/>
        <v>0</v>
      </c>
      <c r="AI38" s="79">
        <f t="shared" si="33"/>
        <v>0</v>
      </c>
    </row>
    <row r="39" spans="1:35">
      <c r="A39" s="95" t="str">
        <f>U3</f>
        <v>Anno 17</v>
      </c>
      <c r="B39" s="80" t="str">
        <f>$B29</f>
        <v>Impianti</v>
      </c>
      <c r="C39" s="81">
        <f>$C$5</f>
        <v>0</v>
      </c>
      <c r="D39" s="52"/>
      <c r="E39" s="78"/>
      <c r="Q39" s="64"/>
      <c r="R39" s="64"/>
      <c r="S39" s="64"/>
      <c r="T39" s="64"/>
      <c r="U39" s="64">
        <f>IF($D39*$C39&gt;=$D40,$D40,$D39*$C39)</f>
        <v>0</v>
      </c>
      <c r="V39" s="64">
        <f t="shared" ref="V39:AI39" si="34">IF($D39*$C39&gt;=U40,U40,$D39*$C39)</f>
        <v>0</v>
      </c>
      <c r="W39" s="64">
        <f t="shared" si="34"/>
        <v>0</v>
      </c>
      <c r="X39" s="64">
        <f t="shared" si="34"/>
        <v>0</v>
      </c>
      <c r="Y39" s="64">
        <f t="shared" si="34"/>
        <v>0</v>
      </c>
      <c r="Z39" s="64">
        <f t="shared" si="34"/>
        <v>0</v>
      </c>
      <c r="AA39" s="64">
        <f t="shared" si="34"/>
        <v>0</v>
      </c>
      <c r="AB39" s="64">
        <f t="shared" si="34"/>
        <v>0</v>
      </c>
      <c r="AC39" s="64">
        <f t="shared" si="34"/>
        <v>0</v>
      </c>
      <c r="AD39" s="64">
        <f t="shared" si="34"/>
        <v>0</v>
      </c>
      <c r="AE39" s="64">
        <f t="shared" si="34"/>
        <v>0</v>
      </c>
      <c r="AF39" s="64">
        <f t="shared" si="34"/>
        <v>0</v>
      </c>
      <c r="AG39" s="64">
        <f t="shared" si="34"/>
        <v>0</v>
      </c>
      <c r="AH39" s="64">
        <f t="shared" si="34"/>
        <v>0</v>
      </c>
      <c r="AI39" s="86">
        <f t="shared" si="34"/>
        <v>0</v>
      </c>
    </row>
    <row r="40" spans="1:35">
      <c r="A40" s="60" t="str">
        <f>U3</f>
        <v>Anno 17</v>
      </c>
      <c r="B40" s="59" t="s">
        <v>61</v>
      </c>
      <c r="C40" s="81"/>
      <c r="D40" s="52">
        <f>D39</f>
        <v>0</v>
      </c>
      <c r="E40" s="78"/>
      <c r="Q40" s="63"/>
      <c r="R40" s="63"/>
      <c r="S40" s="63"/>
      <c r="T40" s="63"/>
      <c r="U40" s="63">
        <f>$D40-U39</f>
        <v>0</v>
      </c>
      <c r="V40" s="63">
        <f t="shared" ref="V40:AI40" si="35">IF(U40-V39&gt;0,U40-V39,0)</f>
        <v>0</v>
      </c>
      <c r="W40" s="63">
        <f t="shared" si="35"/>
        <v>0</v>
      </c>
      <c r="X40" s="63">
        <f t="shared" si="35"/>
        <v>0</v>
      </c>
      <c r="Y40" s="63">
        <f t="shared" si="35"/>
        <v>0</v>
      </c>
      <c r="Z40" s="63">
        <f t="shared" si="35"/>
        <v>0</v>
      </c>
      <c r="AA40" s="63">
        <f t="shared" si="35"/>
        <v>0</v>
      </c>
      <c r="AB40" s="63">
        <f t="shared" si="35"/>
        <v>0</v>
      </c>
      <c r="AC40" s="63">
        <f t="shared" si="35"/>
        <v>0</v>
      </c>
      <c r="AD40" s="63">
        <f t="shared" si="35"/>
        <v>0</v>
      </c>
      <c r="AE40" s="63">
        <f t="shared" si="35"/>
        <v>0</v>
      </c>
      <c r="AF40" s="63">
        <f t="shared" si="35"/>
        <v>0</v>
      </c>
      <c r="AG40" s="63">
        <f t="shared" si="35"/>
        <v>0</v>
      </c>
      <c r="AH40" s="63">
        <f t="shared" si="35"/>
        <v>0</v>
      </c>
      <c r="AI40" s="79">
        <f t="shared" si="35"/>
        <v>0</v>
      </c>
    </row>
    <row r="41" spans="1:35">
      <c r="A41" s="95" t="str">
        <f>V3</f>
        <v>Anno 18</v>
      </c>
      <c r="B41" s="80" t="str">
        <f>$B29</f>
        <v>Impianti</v>
      </c>
      <c r="C41" s="81">
        <f>$C$5</f>
        <v>0</v>
      </c>
      <c r="D41" s="52"/>
      <c r="E41" s="78"/>
      <c r="Q41" s="64"/>
      <c r="R41" s="64"/>
      <c r="S41" s="64"/>
      <c r="T41" s="64"/>
      <c r="U41" s="64"/>
      <c r="V41" s="64">
        <f>IF($D41*$C41&gt;=$D42,$D42,$D41*$C41)</f>
        <v>0</v>
      </c>
      <c r="W41" s="64">
        <f t="shared" ref="W41:AI41" si="36">IF($D41*$C41&gt;=V42,V42,$D41*$C41)</f>
        <v>0</v>
      </c>
      <c r="X41" s="64">
        <f t="shared" si="36"/>
        <v>0</v>
      </c>
      <c r="Y41" s="64">
        <f t="shared" si="36"/>
        <v>0</v>
      </c>
      <c r="Z41" s="64">
        <f t="shared" si="36"/>
        <v>0</v>
      </c>
      <c r="AA41" s="64">
        <f t="shared" si="36"/>
        <v>0</v>
      </c>
      <c r="AB41" s="64">
        <f t="shared" si="36"/>
        <v>0</v>
      </c>
      <c r="AC41" s="64">
        <f t="shared" si="36"/>
        <v>0</v>
      </c>
      <c r="AD41" s="64">
        <f t="shared" si="36"/>
        <v>0</v>
      </c>
      <c r="AE41" s="64">
        <f t="shared" si="36"/>
        <v>0</v>
      </c>
      <c r="AF41" s="64">
        <f t="shared" si="36"/>
        <v>0</v>
      </c>
      <c r="AG41" s="64">
        <f t="shared" si="36"/>
        <v>0</v>
      </c>
      <c r="AH41" s="64">
        <f t="shared" si="36"/>
        <v>0</v>
      </c>
      <c r="AI41" s="86">
        <f t="shared" si="36"/>
        <v>0</v>
      </c>
    </row>
    <row r="42" spans="1:35">
      <c r="A42" s="60" t="str">
        <f>V3</f>
        <v>Anno 18</v>
      </c>
      <c r="B42" s="59" t="s">
        <v>61</v>
      </c>
      <c r="C42" s="81"/>
      <c r="D42" s="52">
        <f>D41</f>
        <v>0</v>
      </c>
      <c r="E42" s="78"/>
      <c r="Q42" s="63"/>
      <c r="R42" s="63"/>
      <c r="S42" s="63"/>
      <c r="T42" s="63"/>
      <c r="U42" s="63"/>
      <c r="V42" s="63">
        <f>$D42-V41</f>
        <v>0</v>
      </c>
      <c r="W42" s="63">
        <f t="shared" ref="W42:AI42" si="37">IF(V42-W41&gt;0,V42-W41,0)</f>
        <v>0</v>
      </c>
      <c r="X42" s="63">
        <f t="shared" si="37"/>
        <v>0</v>
      </c>
      <c r="Y42" s="63">
        <f t="shared" si="37"/>
        <v>0</v>
      </c>
      <c r="Z42" s="63">
        <f t="shared" si="37"/>
        <v>0</v>
      </c>
      <c r="AA42" s="63">
        <f t="shared" si="37"/>
        <v>0</v>
      </c>
      <c r="AB42" s="63">
        <f t="shared" si="37"/>
        <v>0</v>
      </c>
      <c r="AC42" s="63">
        <f t="shared" si="37"/>
        <v>0</v>
      </c>
      <c r="AD42" s="63">
        <f t="shared" si="37"/>
        <v>0</v>
      </c>
      <c r="AE42" s="63">
        <f t="shared" si="37"/>
        <v>0</v>
      </c>
      <c r="AF42" s="63">
        <f t="shared" si="37"/>
        <v>0</v>
      </c>
      <c r="AG42" s="63">
        <f t="shared" si="37"/>
        <v>0</v>
      </c>
      <c r="AH42" s="63">
        <f t="shared" si="37"/>
        <v>0</v>
      </c>
      <c r="AI42" s="79">
        <f t="shared" si="37"/>
        <v>0</v>
      </c>
    </row>
    <row r="43" spans="1:35">
      <c r="A43" s="95" t="str">
        <f>W3</f>
        <v>Anno 19</v>
      </c>
      <c r="B43" s="80" t="str">
        <f>$B29</f>
        <v>Impianti</v>
      </c>
      <c r="C43" s="81">
        <f>$C$5</f>
        <v>0</v>
      </c>
      <c r="D43" s="52"/>
      <c r="E43" s="78"/>
      <c r="Q43" s="64"/>
      <c r="R43" s="64"/>
      <c r="S43" s="64"/>
      <c r="T43" s="64"/>
      <c r="U43" s="64"/>
      <c r="V43" s="87"/>
      <c r="W43" s="64">
        <f>IF($D43*$C43&gt;=$D44,$D44,$D43*$C43)</f>
        <v>0</v>
      </c>
      <c r="X43" s="64">
        <f t="shared" ref="X43:AI43" si="38">IF($D43*$C43&gt;=W44,W44,$D43*$C43)</f>
        <v>0</v>
      </c>
      <c r="Y43" s="64">
        <f t="shared" si="38"/>
        <v>0</v>
      </c>
      <c r="Z43" s="64">
        <f t="shared" si="38"/>
        <v>0</v>
      </c>
      <c r="AA43" s="64">
        <f t="shared" si="38"/>
        <v>0</v>
      </c>
      <c r="AB43" s="64">
        <f t="shared" si="38"/>
        <v>0</v>
      </c>
      <c r="AC43" s="64">
        <f t="shared" si="38"/>
        <v>0</v>
      </c>
      <c r="AD43" s="64">
        <f t="shared" si="38"/>
        <v>0</v>
      </c>
      <c r="AE43" s="64">
        <f t="shared" si="38"/>
        <v>0</v>
      </c>
      <c r="AF43" s="64">
        <f t="shared" si="38"/>
        <v>0</v>
      </c>
      <c r="AG43" s="64">
        <f t="shared" si="38"/>
        <v>0</v>
      </c>
      <c r="AH43" s="64">
        <f t="shared" si="38"/>
        <v>0</v>
      </c>
      <c r="AI43" s="86">
        <f t="shared" si="38"/>
        <v>0</v>
      </c>
    </row>
    <row r="44" spans="1:35">
      <c r="A44" s="60" t="str">
        <f>W3</f>
        <v>Anno 19</v>
      </c>
      <c r="B44" s="59" t="s">
        <v>61</v>
      </c>
      <c r="C44" s="81"/>
      <c r="D44" s="52">
        <f>D43</f>
        <v>0</v>
      </c>
      <c r="E44" s="78"/>
      <c r="Q44" s="63"/>
      <c r="R44" s="63"/>
      <c r="S44" s="63"/>
      <c r="T44" s="63"/>
      <c r="U44" s="63"/>
      <c r="V44" s="66"/>
      <c r="W44" s="63">
        <f>$D44-W43</f>
        <v>0</v>
      </c>
      <c r="X44" s="63">
        <f t="shared" ref="X44:AI44" si="39">IF(W44-X43&gt;0,W44-X43,0)</f>
        <v>0</v>
      </c>
      <c r="Y44" s="63">
        <f t="shared" si="39"/>
        <v>0</v>
      </c>
      <c r="Z44" s="63">
        <f t="shared" si="39"/>
        <v>0</v>
      </c>
      <c r="AA44" s="63">
        <f t="shared" si="39"/>
        <v>0</v>
      </c>
      <c r="AB44" s="63">
        <f t="shared" si="39"/>
        <v>0</v>
      </c>
      <c r="AC44" s="63">
        <f t="shared" si="39"/>
        <v>0</v>
      </c>
      <c r="AD44" s="63">
        <f t="shared" si="39"/>
        <v>0</v>
      </c>
      <c r="AE44" s="63">
        <f t="shared" si="39"/>
        <v>0</v>
      </c>
      <c r="AF44" s="63">
        <f t="shared" si="39"/>
        <v>0</v>
      </c>
      <c r="AG44" s="63">
        <f t="shared" si="39"/>
        <v>0</v>
      </c>
      <c r="AH44" s="63">
        <f t="shared" si="39"/>
        <v>0</v>
      </c>
      <c r="AI44" s="79">
        <f t="shared" si="39"/>
        <v>0</v>
      </c>
    </row>
    <row r="45" spans="1:35">
      <c r="A45" s="95" t="str">
        <f>X3</f>
        <v>Anno 20</v>
      </c>
      <c r="B45" s="80" t="str">
        <f>$B29</f>
        <v>Impianti</v>
      </c>
      <c r="C45" s="81">
        <f>$C$5</f>
        <v>0</v>
      </c>
      <c r="D45" s="52"/>
      <c r="E45" s="78"/>
      <c r="Q45" s="64"/>
      <c r="R45" s="64"/>
      <c r="S45" s="64"/>
      <c r="T45" s="64"/>
      <c r="U45" s="64"/>
      <c r="V45" s="87"/>
      <c r="W45" s="87"/>
      <c r="X45" s="64">
        <f>IF($D45*$C45&gt;=$D46,$D46,$D45*$C45)</f>
        <v>0</v>
      </c>
      <c r="Y45" s="64">
        <f t="shared" ref="Y45:AI45" si="40">IF($D45*$C45&gt;=X46,X46,$D45*$C45)</f>
        <v>0</v>
      </c>
      <c r="Z45" s="64">
        <f t="shared" si="40"/>
        <v>0</v>
      </c>
      <c r="AA45" s="64">
        <f t="shared" si="40"/>
        <v>0</v>
      </c>
      <c r="AB45" s="64">
        <f t="shared" si="40"/>
        <v>0</v>
      </c>
      <c r="AC45" s="64">
        <f t="shared" si="40"/>
        <v>0</v>
      </c>
      <c r="AD45" s="64">
        <f t="shared" si="40"/>
        <v>0</v>
      </c>
      <c r="AE45" s="64">
        <f t="shared" si="40"/>
        <v>0</v>
      </c>
      <c r="AF45" s="64">
        <f t="shared" si="40"/>
        <v>0</v>
      </c>
      <c r="AG45" s="64">
        <f t="shared" si="40"/>
        <v>0</v>
      </c>
      <c r="AH45" s="64">
        <f t="shared" si="40"/>
        <v>0</v>
      </c>
      <c r="AI45" s="86">
        <f t="shared" si="40"/>
        <v>0</v>
      </c>
    </row>
    <row r="46" spans="1:35">
      <c r="A46" s="60" t="str">
        <f>X3</f>
        <v>Anno 20</v>
      </c>
      <c r="B46" s="59" t="s">
        <v>61</v>
      </c>
      <c r="C46" s="81"/>
      <c r="D46" s="52">
        <f>D45</f>
        <v>0</v>
      </c>
      <c r="E46" s="78"/>
      <c r="Q46" s="63"/>
      <c r="R46" s="63"/>
      <c r="S46" s="63"/>
      <c r="T46" s="63"/>
      <c r="U46" s="63"/>
      <c r="V46" s="66"/>
      <c r="W46" s="66"/>
      <c r="X46" s="63">
        <f>$D46-X45</f>
        <v>0</v>
      </c>
      <c r="Y46" s="63">
        <f t="shared" ref="Y46:AI46" si="41">IF(X46-Y45&gt;0,X46-Y45,0)</f>
        <v>0</v>
      </c>
      <c r="Z46" s="63">
        <f t="shared" si="41"/>
        <v>0</v>
      </c>
      <c r="AA46" s="63">
        <f t="shared" si="41"/>
        <v>0</v>
      </c>
      <c r="AB46" s="63">
        <f t="shared" si="41"/>
        <v>0</v>
      </c>
      <c r="AC46" s="63">
        <f t="shared" si="41"/>
        <v>0</v>
      </c>
      <c r="AD46" s="63">
        <f t="shared" si="41"/>
        <v>0</v>
      </c>
      <c r="AE46" s="63">
        <f t="shared" si="41"/>
        <v>0</v>
      </c>
      <c r="AF46" s="63">
        <f t="shared" si="41"/>
        <v>0</v>
      </c>
      <c r="AG46" s="63">
        <f t="shared" si="41"/>
        <v>0</v>
      </c>
      <c r="AH46" s="63">
        <f t="shared" si="41"/>
        <v>0</v>
      </c>
      <c r="AI46" s="79">
        <f t="shared" si="41"/>
        <v>0</v>
      </c>
    </row>
    <row r="47" spans="1:35">
      <c r="A47" s="95" t="str">
        <f>Y3</f>
        <v>Anno 21</v>
      </c>
      <c r="B47" s="80" t="str">
        <f>$B29</f>
        <v>Impianti</v>
      </c>
      <c r="C47" s="81">
        <f>$C$5</f>
        <v>0</v>
      </c>
      <c r="D47" s="52"/>
      <c r="E47" s="78"/>
      <c r="Q47" s="64"/>
      <c r="R47" s="64"/>
      <c r="S47" s="64"/>
      <c r="T47" s="64"/>
      <c r="U47" s="64"/>
      <c r="V47" s="87"/>
      <c r="W47" s="87"/>
      <c r="X47" s="87"/>
      <c r="Y47" s="64">
        <f>IF($D47*$C47&gt;=$D48,$D48,$D47*$C47)</f>
        <v>0</v>
      </c>
      <c r="Z47" s="64">
        <f t="shared" ref="Z47:AI47" si="42">IF($D47*$C47&gt;=Y48,Y48,$D47*$C47)</f>
        <v>0</v>
      </c>
      <c r="AA47" s="64">
        <f t="shared" si="42"/>
        <v>0</v>
      </c>
      <c r="AB47" s="64">
        <f t="shared" si="42"/>
        <v>0</v>
      </c>
      <c r="AC47" s="64">
        <f t="shared" si="42"/>
        <v>0</v>
      </c>
      <c r="AD47" s="64">
        <f t="shared" si="42"/>
        <v>0</v>
      </c>
      <c r="AE47" s="64">
        <f t="shared" si="42"/>
        <v>0</v>
      </c>
      <c r="AF47" s="64">
        <f t="shared" si="42"/>
        <v>0</v>
      </c>
      <c r="AG47" s="64">
        <f t="shared" si="42"/>
        <v>0</v>
      </c>
      <c r="AH47" s="64">
        <f t="shared" si="42"/>
        <v>0</v>
      </c>
      <c r="AI47" s="86">
        <f t="shared" si="42"/>
        <v>0</v>
      </c>
    </row>
    <row r="48" spans="1:35">
      <c r="A48" s="60" t="str">
        <f>Y3</f>
        <v>Anno 21</v>
      </c>
      <c r="B48" s="59" t="s">
        <v>61</v>
      </c>
      <c r="C48" s="81"/>
      <c r="D48" s="52">
        <f>D47</f>
        <v>0</v>
      </c>
      <c r="E48" s="78"/>
      <c r="Q48" s="63"/>
      <c r="R48" s="63"/>
      <c r="S48" s="63"/>
      <c r="T48" s="63"/>
      <c r="U48" s="63"/>
      <c r="V48" s="66"/>
      <c r="W48" s="66"/>
      <c r="X48" s="66"/>
      <c r="Y48" s="63">
        <f>$D48-Y47</f>
        <v>0</v>
      </c>
      <c r="Z48" s="63">
        <f t="shared" ref="Z48:AI48" si="43">IF(Y48-Z47&gt;0,Y48-Z47,0)</f>
        <v>0</v>
      </c>
      <c r="AA48" s="63">
        <f t="shared" si="43"/>
        <v>0</v>
      </c>
      <c r="AB48" s="63">
        <f t="shared" si="43"/>
        <v>0</v>
      </c>
      <c r="AC48" s="63">
        <f t="shared" si="43"/>
        <v>0</v>
      </c>
      <c r="AD48" s="63">
        <f t="shared" si="43"/>
        <v>0</v>
      </c>
      <c r="AE48" s="63">
        <f t="shared" si="43"/>
        <v>0</v>
      </c>
      <c r="AF48" s="63">
        <f t="shared" si="43"/>
        <v>0</v>
      </c>
      <c r="AG48" s="63">
        <f t="shared" si="43"/>
        <v>0</v>
      </c>
      <c r="AH48" s="63">
        <f t="shared" si="43"/>
        <v>0</v>
      </c>
      <c r="AI48" s="79">
        <f t="shared" si="43"/>
        <v>0</v>
      </c>
    </row>
    <row r="49" spans="1:35">
      <c r="A49" s="95" t="str">
        <f>Z3</f>
        <v>Anno 22</v>
      </c>
      <c r="B49" s="80" t="str">
        <f>$B29</f>
        <v>Impianti</v>
      </c>
      <c r="C49" s="81">
        <f>$C$5</f>
        <v>0</v>
      </c>
      <c r="D49" s="52"/>
      <c r="E49" s="78"/>
      <c r="Q49" s="64"/>
      <c r="R49" s="64"/>
      <c r="S49" s="64"/>
      <c r="T49" s="64"/>
      <c r="U49" s="64"/>
      <c r="V49" s="87"/>
      <c r="W49" s="87"/>
      <c r="X49" s="87"/>
      <c r="Y49" s="87"/>
      <c r="Z49" s="64">
        <f>IF($D49*$C49&gt;=$D50,$D50,$D49*$C49)</f>
        <v>0</v>
      </c>
      <c r="AA49" s="64">
        <f t="shared" ref="AA49:AI49" si="44">IF($D49*$C49&gt;=Z50,Z50,$D49*$C49)</f>
        <v>0</v>
      </c>
      <c r="AB49" s="64">
        <f t="shared" si="44"/>
        <v>0</v>
      </c>
      <c r="AC49" s="64">
        <f t="shared" si="44"/>
        <v>0</v>
      </c>
      <c r="AD49" s="64">
        <f t="shared" si="44"/>
        <v>0</v>
      </c>
      <c r="AE49" s="64">
        <f t="shared" si="44"/>
        <v>0</v>
      </c>
      <c r="AF49" s="64">
        <f t="shared" si="44"/>
        <v>0</v>
      </c>
      <c r="AG49" s="64">
        <f t="shared" si="44"/>
        <v>0</v>
      </c>
      <c r="AH49" s="64">
        <f t="shared" si="44"/>
        <v>0</v>
      </c>
      <c r="AI49" s="86">
        <f t="shared" si="44"/>
        <v>0</v>
      </c>
    </row>
    <row r="50" spans="1:35">
      <c r="A50" s="60" t="str">
        <f>Z3</f>
        <v>Anno 22</v>
      </c>
      <c r="B50" s="59" t="s">
        <v>61</v>
      </c>
      <c r="C50" s="81"/>
      <c r="D50" s="52">
        <f>D49</f>
        <v>0</v>
      </c>
      <c r="E50" s="78"/>
      <c r="Q50" s="63"/>
      <c r="R50" s="63"/>
      <c r="S50" s="63"/>
      <c r="T50" s="63"/>
      <c r="U50" s="63"/>
      <c r="V50" s="66"/>
      <c r="W50" s="66"/>
      <c r="X50" s="66"/>
      <c r="Y50" s="66"/>
      <c r="Z50" s="63">
        <f>$D50-Z49</f>
        <v>0</v>
      </c>
      <c r="AA50" s="63">
        <f t="shared" ref="AA50:AI50" si="45">IF(Z50-AA49&gt;0,Z50-AA49,0)</f>
        <v>0</v>
      </c>
      <c r="AB50" s="63">
        <f t="shared" si="45"/>
        <v>0</v>
      </c>
      <c r="AC50" s="63">
        <f t="shared" si="45"/>
        <v>0</v>
      </c>
      <c r="AD50" s="63">
        <f t="shared" si="45"/>
        <v>0</v>
      </c>
      <c r="AE50" s="63">
        <f t="shared" si="45"/>
        <v>0</v>
      </c>
      <c r="AF50" s="63">
        <f t="shared" si="45"/>
        <v>0</v>
      </c>
      <c r="AG50" s="63">
        <f t="shared" si="45"/>
        <v>0</v>
      </c>
      <c r="AH50" s="63">
        <f t="shared" si="45"/>
        <v>0</v>
      </c>
      <c r="AI50" s="79">
        <f t="shared" si="45"/>
        <v>0</v>
      </c>
    </row>
    <row r="51" spans="1:35">
      <c r="A51" s="95" t="str">
        <f>AA3</f>
        <v>Anno 23</v>
      </c>
      <c r="B51" s="80" t="str">
        <f>$B29</f>
        <v>Impianti</v>
      </c>
      <c r="C51" s="81">
        <f>$C$5</f>
        <v>0</v>
      </c>
      <c r="D51" s="52"/>
      <c r="E51" s="78"/>
      <c r="Q51" s="64"/>
      <c r="R51" s="64"/>
      <c r="S51" s="64"/>
      <c r="T51" s="64"/>
      <c r="U51" s="64"/>
      <c r="V51" s="87"/>
      <c r="W51" s="87"/>
      <c r="X51" s="87"/>
      <c r="Y51" s="87"/>
      <c r="Z51" s="87"/>
      <c r="AA51" s="64">
        <f>IF($D51*$C51&gt;=$D52,$D52,$D51*$C51)</f>
        <v>0</v>
      </c>
      <c r="AB51" s="64">
        <f t="shared" ref="AB51:AI51" si="46">IF($D51*$C51&gt;=AA52,AA52,$D51*$C51)</f>
        <v>0</v>
      </c>
      <c r="AC51" s="64">
        <f t="shared" si="46"/>
        <v>0</v>
      </c>
      <c r="AD51" s="64">
        <f t="shared" si="46"/>
        <v>0</v>
      </c>
      <c r="AE51" s="64">
        <f t="shared" si="46"/>
        <v>0</v>
      </c>
      <c r="AF51" s="64">
        <f t="shared" si="46"/>
        <v>0</v>
      </c>
      <c r="AG51" s="64">
        <f t="shared" si="46"/>
        <v>0</v>
      </c>
      <c r="AH51" s="64">
        <f t="shared" si="46"/>
        <v>0</v>
      </c>
      <c r="AI51" s="86">
        <f t="shared" si="46"/>
        <v>0</v>
      </c>
    </row>
    <row r="52" spans="1:35">
      <c r="A52" s="60" t="str">
        <f>AA3</f>
        <v>Anno 23</v>
      </c>
      <c r="B52" s="59" t="s">
        <v>61</v>
      </c>
      <c r="C52" s="81"/>
      <c r="D52" s="52">
        <f>D51</f>
        <v>0</v>
      </c>
      <c r="E52" s="78"/>
      <c r="Q52" s="63"/>
      <c r="R52" s="63"/>
      <c r="S52" s="63"/>
      <c r="T52" s="63"/>
      <c r="U52" s="63"/>
      <c r="V52" s="66"/>
      <c r="W52" s="66"/>
      <c r="X52" s="66"/>
      <c r="Y52" s="66"/>
      <c r="Z52" s="66"/>
      <c r="AA52" s="63">
        <f>$D52-AA51</f>
        <v>0</v>
      </c>
      <c r="AB52" s="63">
        <f t="shared" ref="AB52:AI52" si="47">IF(AA52-AB51&gt;0,AA52-AB51,0)</f>
        <v>0</v>
      </c>
      <c r="AC52" s="63">
        <f t="shared" si="47"/>
        <v>0</v>
      </c>
      <c r="AD52" s="63">
        <f t="shared" si="47"/>
        <v>0</v>
      </c>
      <c r="AE52" s="63">
        <f t="shared" si="47"/>
        <v>0</v>
      </c>
      <c r="AF52" s="63">
        <f t="shared" si="47"/>
        <v>0</v>
      </c>
      <c r="AG52" s="63">
        <f t="shared" si="47"/>
        <v>0</v>
      </c>
      <c r="AH52" s="63">
        <f t="shared" si="47"/>
        <v>0</v>
      </c>
      <c r="AI52" s="79">
        <f t="shared" si="47"/>
        <v>0</v>
      </c>
    </row>
    <row r="53" spans="1:35">
      <c r="A53" s="95" t="str">
        <f>AB3</f>
        <v>Anno 24</v>
      </c>
      <c r="B53" s="80" t="str">
        <f>$B29</f>
        <v>Impianti</v>
      </c>
      <c r="C53" s="81">
        <f>$C$5</f>
        <v>0</v>
      </c>
      <c r="D53" s="52"/>
      <c r="E53" s="78"/>
      <c r="Q53" s="64"/>
      <c r="R53" s="64"/>
      <c r="S53" s="64"/>
      <c r="T53" s="64"/>
      <c r="U53" s="64"/>
      <c r="V53" s="87"/>
      <c r="W53" s="87"/>
      <c r="X53" s="87"/>
      <c r="Y53" s="87"/>
      <c r="Z53" s="87"/>
      <c r="AA53" s="87"/>
      <c r="AB53" s="64">
        <f>IF($D53*$C53&gt;=$D54,$D54,$D53*$C53)</f>
        <v>0</v>
      </c>
      <c r="AC53" s="64">
        <f t="shared" ref="AC53:AI53" si="48">IF($D53*$C53&gt;=AB54,AB54,$D53*$C53)</f>
        <v>0</v>
      </c>
      <c r="AD53" s="64">
        <f t="shared" si="48"/>
        <v>0</v>
      </c>
      <c r="AE53" s="64">
        <f t="shared" si="48"/>
        <v>0</v>
      </c>
      <c r="AF53" s="64">
        <f t="shared" si="48"/>
        <v>0</v>
      </c>
      <c r="AG53" s="64">
        <f t="shared" si="48"/>
        <v>0</v>
      </c>
      <c r="AH53" s="64">
        <f t="shared" si="48"/>
        <v>0</v>
      </c>
      <c r="AI53" s="86">
        <f t="shared" si="48"/>
        <v>0</v>
      </c>
    </row>
    <row r="54" spans="1:35">
      <c r="A54" s="60" t="str">
        <f>AB3</f>
        <v>Anno 24</v>
      </c>
      <c r="B54" s="59" t="s">
        <v>61</v>
      </c>
      <c r="C54" s="88"/>
      <c r="D54" s="52">
        <f>D53</f>
        <v>0</v>
      </c>
      <c r="E54" s="78"/>
      <c r="Q54" s="63"/>
      <c r="R54" s="63"/>
      <c r="S54" s="63"/>
      <c r="T54" s="63"/>
      <c r="U54" s="63"/>
      <c r="V54" s="66"/>
      <c r="W54" s="66"/>
      <c r="X54" s="66"/>
      <c r="Y54" s="66"/>
      <c r="Z54" s="66"/>
      <c r="AA54" s="66"/>
      <c r="AB54" s="63">
        <f>$D54-AB53</f>
        <v>0</v>
      </c>
      <c r="AC54" s="63">
        <f t="shared" ref="AC54:AI54" si="49">IF(AB54-AC53&gt;0,AB54-AC53,0)</f>
        <v>0</v>
      </c>
      <c r="AD54" s="63">
        <f t="shared" si="49"/>
        <v>0</v>
      </c>
      <c r="AE54" s="63">
        <f t="shared" si="49"/>
        <v>0</v>
      </c>
      <c r="AF54" s="63">
        <f t="shared" si="49"/>
        <v>0</v>
      </c>
      <c r="AG54" s="63">
        <f t="shared" si="49"/>
        <v>0</v>
      </c>
      <c r="AH54" s="63">
        <f t="shared" si="49"/>
        <v>0</v>
      </c>
      <c r="AI54" s="79">
        <f t="shared" si="49"/>
        <v>0</v>
      </c>
    </row>
    <row r="55" spans="1:35">
      <c r="A55" s="95" t="str">
        <f>AC3</f>
        <v>Anno 25</v>
      </c>
      <c r="B55" s="80" t="str">
        <f>$B53</f>
        <v>Impianti</v>
      </c>
      <c r="C55" s="81">
        <f>$C$5</f>
        <v>0</v>
      </c>
      <c r="D55" s="52"/>
      <c r="E55" s="78"/>
      <c r="AC55" s="64">
        <f>IF($D55*$C55&gt;=$D56,$D56,$D55*$C55)</f>
        <v>0</v>
      </c>
      <c r="AD55" s="64">
        <f t="shared" ref="AD55:AI55" si="50">IF($D55*$C55&gt;=AC56,AC56,$D55*$C55)</f>
        <v>0</v>
      </c>
      <c r="AE55" s="64">
        <f t="shared" si="50"/>
        <v>0</v>
      </c>
      <c r="AF55" s="64">
        <f t="shared" si="50"/>
        <v>0</v>
      </c>
      <c r="AG55" s="64">
        <f t="shared" si="50"/>
        <v>0</v>
      </c>
      <c r="AH55" s="64">
        <f t="shared" si="50"/>
        <v>0</v>
      </c>
      <c r="AI55" s="86">
        <f t="shared" si="50"/>
        <v>0</v>
      </c>
    </row>
    <row r="56" spans="1:35">
      <c r="A56" s="60" t="str">
        <f>AC3</f>
        <v>Anno 25</v>
      </c>
      <c r="B56" s="59" t="s">
        <v>61</v>
      </c>
      <c r="C56" s="81"/>
      <c r="D56" s="52">
        <f>D55</f>
        <v>0</v>
      </c>
      <c r="E56" s="78"/>
      <c r="AC56" s="63">
        <f>$D56-AC55</f>
        <v>0</v>
      </c>
      <c r="AD56" s="63">
        <f t="shared" ref="AD56:AI56" si="51">IF(AC56-AD55&gt;0,AC56-AD55,0)</f>
        <v>0</v>
      </c>
      <c r="AE56" s="63">
        <f t="shared" si="51"/>
        <v>0</v>
      </c>
      <c r="AF56" s="63">
        <f t="shared" si="51"/>
        <v>0</v>
      </c>
      <c r="AG56" s="63">
        <f t="shared" si="51"/>
        <v>0</v>
      </c>
      <c r="AH56" s="63">
        <f t="shared" si="51"/>
        <v>0</v>
      </c>
      <c r="AI56" s="79">
        <f t="shared" si="51"/>
        <v>0</v>
      </c>
    </row>
    <row r="57" spans="1:35">
      <c r="A57" s="95" t="str">
        <f>AD3</f>
        <v>Anno 26</v>
      </c>
      <c r="B57" s="80" t="str">
        <f>$B53</f>
        <v>Impianti</v>
      </c>
      <c r="C57" s="81">
        <f>$C$5</f>
        <v>0</v>
      </c>
      <c r="D57" s="52"/>
      <c r="E57" s="78"/>
      <c r="AC57" s="64"/>
      <c r="AD57" s="64">
        <f>IF($D57*$C57&gt;=$D58,$D58,$D57*$C57)</f>
        <v>0</v>
      </c>
      <c r="AE57" s="64">
        <f>IF($D57*$C57&gt;=AD58,AD58,$D57*$C57)</f>
        <v>0</v>
      </c>
      <c r="AF57" s="64">
        <f>IF($D57*$C57&gt;=AE58,AE58,$D57*$C57)</f>
        <v>0</v>
      </c>
      <c r="AG57" s="64">
        <f>IF($D57*$C57&gt;=AF58,AF58,$D57*$C57)</f>
        <v>0</v>
      </c>
      <c r="AH57" s="64">
        <f>IF($D57*$C57&gt;=AG58,AG58,$D57*$C57)</f>
        <v>0</v>
      </c>
      <c r="AI57" s="86">
        <f>IF($D57*$C57&gt;=AH58,AH58,$D57*$C57)</f>
        <v>0</v>
      </c>
    </row>
    <row r="58" spans="1:35">
      <c r="A58" s="60" t="str">
        <f>AD3</f>
        <v>Anno 26</v>
      </c>
      <c r="B58" s="59" t="s">
        <v>61</v>
      </c>
      <c r="C58" s="81"/>
      <c r="D58" s="52">
        <f>D57</f>
        <v>0</v>
      </c>
      <c r="E58" s="78"/>
      <c r="AC58" s="63"/>
      <c r="AD58" s="63">
        <f>$D58-AD57</f>
        <v>0</v>
      </c>
      <c r="AE58" s="63">
        <f>IF(AD58-AE57&gt;0,AD58-AE57,0)</f>
        <v>0</v>
      </c>
      <c r="AF58" s="63">
        <f>IF(AE58-AF57&gt;0,AE58-AF57,0)</f>
        <v>0</v>
      </c>
      <c r="AG58" s="63">
        <f>IF(AF58-AG57&gt;0,AF58-AG57,0)</f>
        <v>0</v>
      </c>
      <c r="AH58" s="63">
        <f>IF(AG58-AH57&gt;0,AG58-AH57,0)</f>
        <v>0</v>
      </c>
      <c r="AI58" s="79">
        <f>IF(AH58-AI57&gt;0,AH58-AI57,0)</f>
        <v>0</v>
      </c>
    </row>
    <row r="59" spans="1:35">
      <c r="A59" s="95" t="str">
        <f>AE3</f>
        <v>Anno 27</v>
      </c>
      <c r="B59" s="80" t="str">
        <f>$B53</f>
        <v>Impianti</v>
      </c>
      <c r="C59" s="81">
        <f>$C$5</f>
        <v>0</v>
      </c>
      <c r="D59" s="52"/>
      <c r="E59" s="78"/>
      <c r="AC59" s="64"/>
      <c r="AD59" s="64"/>
      <c r="AE59" s="64">
        <f>IF($D59*$C59&gt;=$D60,$D60,$D59*$C59)</f>
        <v>0</v>
      </c>
      <c r="AF59" s="64">
        <f>IF($D59*$C59&gt;=AE60,AE60,$D59*$C59)</f>
        <v>0</v>
      </c>
      <c r="AG59" s="64">
        <f>IF($D59*$C59&gt;=AF60,AF60,$D59*$C59)</f>
        <v>0</v>
      </c>
      <c r="AH59" s="64">
        <f>IF($D59*$C59&gt;=AG60,AG60,$D59*$C59)</f>
        <v>0</v>
      </c>
      <c r="AI59" s="86">
        <f>IF($D59*$C59&gt;=AH60,AH60,$D59*$C59)</f>
        <v>0</v>
      </c>
    </row>
    <row r="60" spans="1:35">
      <c r="A60" s="60" t="str">
        <f>AE3</f>
        <v>Anno 27</v>
      </c>
      <c r="B60" s="59" t="s">
        <v>61</v>
      </c>
      <c r="C60" s="81"/>
      <c r="D60" s="52">
        <f>D59</f>
        <v>0</v>
      </c>
      <c r="E60" s="78"/>
      <c r="AC60" s="63"/>
      <c r="AD60" s="63"/>
      <c r="AE60" s="63">
        <f>$D60-AE59</f>
        <v>0</v>
      </c>
      <c r="AF60" s="63">
        <f>IF(AE60-AF59&gt;0,AE60-AF59,0)</f>
        <v>0</v>
      </c>
      <c r="AG60" s="63">
        <f>IF(AF60-AG59&gt;0,AF60-AG59,0)</f>
        <v>0</v>
      </c>
      <c r="AH60" s="63">
        <f>IF(AG60-AH59&gt;0,AG60-AH59,0)</f>
        <v>0</v>
      </c>
      <c r="AI60" s="79">
        <f>IF(AH60-AI59&gt;0,AH60-AI59,0)</f>
        <v>0</v>
      </c>
    </row>
    <row r="61" spans="1:35">
      <c r="A61" s="95" t="str">
        <f>AF3</f>
        <v>Anno 28</v>
      </c>
      <c r="B61" s="80" t="str">
        <f>$B53</f>
        <v>Impianti</v>
      </c>
      <c r="C61" s="81">
        <f>$C$5</f>
        <v>0</v>
      </c>
      <c r="D61" s="52"/>
      <c r="E61" s="78"/>
      <c r="AC61" s="64"/>
      <c r="AD61" s="64"/>
      <c r="AE61" s="64"/>
      <c r="AF61" s="64">
        <f>IF($D61*$C61&gt;=$D62,$D62,$D61*$C61)</f>
        <v>0</v>
      </c>
      <c r="AG61" s="64">
        <f>IF($D61*$C61&gt;=AF62,AF62,$D61*$C61)</f>
        <v>0</v>
      </c>
      <c r="AH61" s="64">
        <f>IF($D61*$C61&gt;=AG62,AG62,$D61*$C61)</f>
        <v>0</v>
      </c>
      <c r="AI61" s="86">
        <f>IF($D61*$C61&gt;=AH62,AH62,$D61*$C61)</f>
        <v>0</v>
      </c>
    </row>
    <row r="62" spans="1:35">
      <c r="A62" s="60" t="str">
        <f>AF3</f>
        <v>Anno 28</v>
      </c>
      <c r="B62" s="59" t="s">
        <v>61</v>
      </c>
      <c r="C62" s="81"/>
      <c r="D62" s="52">
        <f>D61</f>
        <v>0</v>
      </c>
      <c r="E62" s="78"/>
      <c r="AC62" s="63"/>
      <c r="AD62" s="63"/>
      <c r="AE62" s="63"/>
      <c r="AF62" s="63">
        <f>$D62-AF61</f>
        <v>0</v>
      </c>
      <c r="AG62" s="63">
        <f>IF(AF62-AG61&gt;0,AF62-AG61,0)</f>
        <v>0</v>
      </c>
      <c r="AH62" s="63">
        <f>IF(AG62-AH61&gt;0,AG62-AH61,0)</f>
        <v>0</v>
      </c>
      <c r="AI62" s="79">
        <f>IF(AH62-AI61&gt;0,AH62-AI61,0)</f>
        <v>0</v>
      </c>
    </row>
    <row r="63" spans="1:35">
      <c r="A63" s="95" t="str">
        <f>AG3</f>
        <v>Anno 29</v>
      </c>
      <c r="B63" s="80" t="str">
        <f>$B53</f>
        <v>Impianti</v>
      </c>
      <c r="C63" s="81">
        <f>$C$5</f>
        <v>0</v>
      </c>
      <c r="D63" s="52"/>
      <c r="E63" s="78"/>
      <c r="AC63" s="64"/>
      <c r="AD63" s="64"/>
      <c r="AE63" s="64"/>
      <c r="AF63" s="64"/>
      <c r="AG63" s="64">
        <f>IF($D63*$C63&gt;=$D64,$D64,$D63*$C63)</f>
        <v>0</v>
      </c>
      <c r="AH63" s="64">
        <f>IF($D63*$C63&gt;=AG64,AG64,$D63*$C63)</f>
        <v>0</v>
      </c>
      <c r="AI63" s="86">
        <f>IF($D63*$C63&gt;=AH64,AH64,$D63*$C63)</f>
        <v>0</v>
      </c>
    </row>
    <row r="64" spans="1:35">
      <c r="A64" s="60" t="str">
        <f>AG3</f>
        <v>Anno 29</v>
      </c>
      <c r="B64" s="59" t="s">
        <v>61</v>
      </c>
      <c r="C64" s="81"/>
      <c r="D64" s="52">
        <f>D63</f>
        <v>0</v>
      </c>
      <c r="E64" s="78"/>
      <c r="AC64" s="63"/>
      <c r="AD64" s="63"/>
      <c r="AE64" s="63"/>
      <c r="AF64" s="63"/>
      <c r="AG64" s="63">
        <f>$D64-AG63</f>
        <v>0</v>
      </c>
      <c r="AH64" s="63">
        <f>IF(AG64-AH63&gt;0,AG64-AH63,0)</f>
        <v>0</v>
      </c>
      <c r="AI64" s="79">
        <f>IF(AH64-AI63&gt;0,AH64-AI63,0)</f>
        <v>0</v>
      </c>
    </row>
    <row r="65" spans="1:160">
      <c r="A65" s="95" t="str">
        <f>AH3</f>
        <v>Anno 30</v>
      </c>
      <c r="B65" s="80" t="str">
        <f>$B53</f>
        <v>Impianti</v>
      </c>
      <c r="C65" s="81">
        <f>$C$5</f>
        <v>0</v>
      </c>
      <c r="D65" s="52"/>
      <c r="E65" s="78"/>
      <c r="AC65" s="64"/>
      <c r="AD65" s="64"/>
      <c r="AE65" s="64"/>
      <c r="AF65" s="64"/>
      <c r="AG65" s="64"/>
      <c r="AH65" s="64">
        <f>IF($D65*$C65&gt;=$D66,$D66,$D65*$C65)</f>
        <v>0</v>
      </c>
      <c r="AI65" s="86">
        <f>IF($D65*$C65&gt;=AH66,AH66,$D65*$C65)</f>
        <v>0</v>
      </c>
    </row>
    <row r="66" spans="1:160">
      <c r="A66" s="60" t="str">
        <f>AH3</f>
        <v>Anno 30</v>
      </c>
      <c r="B66" s="59" t="s">
        <v>61</v>
      </c>
      <c r="C66" s="81"/>
      <c r="D66" s="52">
        <f>D65</f>
        <v>0</v>
      </c>
      <c r="E66" s="78"/>
      <c r="AC66" s="63"/>
      <c r="AD66" s="63"/>
      <c r="AE66" s="63"/>
      <c r="AF66" s="63"/>
      <c r="AG66" s="63"/>
      <c r="AH66" s="63">
        <f>$D66-AH65</f>
        <v>0</v>
      </c>
      <c r="AI66" s="79">
        <f>IF(AH66-AI65&gt;0,AH66-AI65,0)</f>
        <v>0</v>
      </c>
    </row>
    <row r="67" spans="1:160">
      <c r="A67" s="95" t="str">
        <f>AI3</f>
        <v>Anno 31</v>
      </c>
      <c r="B67" s="80" t="str">
        <f>$B53</f>
        <v>Impianti</v>
      </c>
      <c r="C67" s="81">
        <f>$C$5</f>
        <v>0</v>
      </c>
      <c r="D67" s="52"/>
      <c r="E67" s="78"/>
      <c r="AC67" s="64"/>
      <c r="AD67" s="64"/>
      <c r="AE67" s="64"/>
      <c r="AF67" s="64"/>
      <c r="AG67" s="64"/>
      <c r="AH67" s="87"/>
      <c r="AI67" s="86">
        <f>IF($D67*$C67&gt;=$D68,$D68,$D67*$C67)</f>
        <v>0</v>
      </c>
    </row>
    <row r="68" spans="1:160">
      <c r="A68" s="60" t="str">
        <f>AI3</f>
        <v>Anno 31</v>
      </c>
      <c r="B68" s="59" t="s">
        <v>61</v>
      </c>
      <c r="C68" s="81"/>
      <c r="D68" s="52">
        <f>D67</f>
        <v>0</v>
      </c>
      <c r="E68" s="89"/>
      <c r="F68" s="90"/>
      <c r="G68" s="90"/>
      <c r="H68" s="90"/>
      <c r="I68" s="90"/>
      <c r="J68" s="91"/>
      <c r="K68" s="91"/>
      <c r="L68" s="91"/>
      <c r="M68" s="91"/>
      <c r="N68" s="91"/>
      <c r="O68" s="91"/>
      <c r="P68" s="91"/>
      <c r="Q68" s="92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0"/>
      <c r="AD68" s="90"/>
      <c r="AE68" s="90"/>
      <c r="AF68" s="90"/>
      <c r="AG68" s="90"/>
      <c r="AH68" s="91"/>
      <c r="AI68" s="94">
        <f>$D68-AI67</f>
        <v>0</v>
      </c>
    </row>
    <row r="69" spans="1:160" s="80" customFormat="1">
      <c r="A69" s="95"/>
      <c r="B69" s="96" t="s">
        <v>66</v>
      </c>
      <c r="C69" s="97"/>
      <c r="D69" s="54"/>
      <c r="E69" s="98">
        <f t="shared" ref="E69:AI70" si="52">E5+E7+E9+E11+E13+E15+E17+E19+E21+E23+E25+E27+E29+E31+E33+E35+E37+E39+E41+E43+E45+E47+E49+E51+E53+E55+E57+E59+E61+E63+E65+E67</f>
        <v>0</v>
      </c>
      <c r="F69" s="98">
        <f t="shared" si="52"/>
        <v>0</v>
      </c>
      <c r="G69" s="98">
        <f t="shared" si="52"/>
        <v>0</v>
      </c>
      <c r="H69" s="98">
        <f t="shared" si="52"/>
        <v>0</v>
      </c>
      <c r="I69" s="98">
        <f t="shared" si="52"/>
        <v>0</v>
      </c>
      <c r="J69" s="98">
        <f t="shared" si="52"/>
        <v>0</v>
      </c>
      <c r="K69" s="98">
        <f t="shared" si="52"/>
        <v>0</v>
      </c>
      <c r="L69" s="98">
        <f t="shared" si="52"/>
        <v>0</v>
      </c>
      <c r="M69" s="98">
        <f t="shared" si="52"/>
        <v>0</v>
      </c>
      <c r="N69" s="98">
        <f t="shared" si="52"/>
        <v>0</v>
      </c>
      <c r="O69" s="98">
        <f t="shared" si="52"/>
        <v>0</v>
      </c>
      <c r="P69" s="98">
        <f t="shared" si="52"/>
        <v>0</v>
      </c>
      <c r="Q69" s="98">
        <f t="shared" si="52"/>
        <v>0</v>
      </c>
      <c r="R69" s="98">
        <f t="shared" si="52"/>
        <v>0</v>
      </c>
      <c r="S69" s="98">
        <f t="shared" si="52"/>
        <v>0</v>
      </c>
      <c r="T69" s="98">
        <f t="shared" si="52"/>
        <v>0</v>
      </c>
      <c r="U69" s="98">
        <f t="shared" si="52"/>
        <v>0</v>
      </c>
      <c r="V69" s="98">
        <f t="shared" si="52"/>
        <v>0</v>
      </c>
      <c r="W69" s="98">
        <f t="shared" si="52"/>
        <v>0</v>
      </c>
      <c r="X69" s="98">
        <f t="shared" si="52"/>
        <v>0</v>
      </c>
      <c r="Y69" s="98">
        <f t="shared" si="52"/>
        <v>0</v>
      </c>
      <c r="Z69" s="98">
        <f t="shared" si="52"/>
        <v>0</v>
      </c>
      <c r="AA69" s="98">
        <f t="shared" si="52"/>
        <v>0</v>
      </c>
      <c r="AB69" s="98">
        <f t="shared" si="52"/>
        <v>0</v>
      </c>
      <c r="AC69" s="98">
        <f t="shared" si="52"/>
        <v>0</v>
      </c>
      <c r="AD69" s="98">
        <f t="shared" si="52"/>
        <v>0</v>
      </c>
      <c r="AE69" s="98">
        <f t="shared" si="52"/>
        <v>0</v>
      </c>
      <c r="AF69" s="98">
        <f t="shared" si="52"/>
        <v>0</v>
      </c>
      <c r="AG69" s="98">
        <f t="shared" si="52"/>
        <v>0</v>
      </c>
      <c r="AH69" s="98">
        <f t="shared" si="52"/>
        <v>0</v>
      </c>
      <c r="AI69" s="99">
        <f t="shared" si="52"/>
        <v>0</v>
      </c>
      <c r="AJ69" s="64">
        <f>SUM(E69:AI69)</f>
        <v>0</v>
      </c>
    </row>
    <row r="70" spans="1:160">
      <c r="B70" s="100" t="s">
        <v>67</v>
      </c>
      <c r="C70" s="101"/>
      <c r="D70" s="55"/>
      <c r="E70" s="89">
        <f t="shared" si="52"/>
        <v>0</v>
      </c>
      <c r="F70" s="89">
        <f t="shared" si="52"/>
        <v>0</v>
      </c>
      <c r="G70" s="89">
        <f t="shared" si="52"/>
        <v>0</v>
      </c>
      <c r="H70" s="89">
        <f t="shared" si="52"/>
        <v>0</v>
      </c>
      <c r="I70" s="89">
        <f t="shared" si="52"/>
        <v>0</v>
      </c>
      <c r="J70" s="89">
        <f t="shared" si="52"/>
        <v>0</v>
      </c>
      <c r="K70" s="89">
        <f t="shared" si="52"/>
        <v>0</v>
      </c>
      <c r="L70" s="89">
        <f t="shared" si="52"/>
        <v>0</v>
      </c>
      <c r="M70" s="89">
        <f t="shared" si="52"/>
        <v>0</v>
      </c>
      <c r="N70" s="89">
        <f t="shared" si="52"/>
        <v>0</v>
      </c>
      <c r="O70" s="89">
        <f t="shared" si="52"/>
        <v>0</v>
      </c>
      <c r="P70" s="89">
        <f t="shared" si="52"/>
        <v>0</v>
      </c>
      <c r="Q70" s="89">
        <f t="shared" si="52"/>
        <v>0</v>
      </c>
      <c r="R70" s="89">
        <f t="shared" si="52"/>
        <v>0</v>
      </c>
      <c r="S70" s="89">
        <f t="shared" si="52"/>
        <v>0</v>
      </c>
      <c r="T70" s="89">
        <f t="shared" si="52"/>
        <v>0</v>
      </c>
      <c r="U70" s="89">
        <f t="shared" si="52"/>
        <v>0</v>
      </c>
      <c r="V70" s="89">
        <f t="shared" si="52"/>
        <v>0</v>
      </c>
      <c r="W70" s="89">
        <f t="shared" si="52"/>
        <v>0</v>
      </c>
      <c r="X70" s="89">
        <f t="shared" si="52"/>
        <v>0</v>
      </c>
      <c r="Y70" s="89">
        <f t="shared" si="52"/>
        <v>0</v>
      </c>
      <c r="Z70" s="89">
        <f t="shared" si="52"/>
        <v>0</v>
      </c>
      <c r="AA70" s="89">
        <f t="shared" si="52"/>
        <v>0</v>
      </c>
      <c r="AB70" s="89">
        <f t="shared" si="52"/>
        <v>0</v>
      </c>
      <c r="AC70" s="89">
        <f t="shared" si="52"/>
        <v>0</v>
      </c>
      <c r="AD70" s="89">
        <f t="shared" si="52"/>
        <v>0</v>
      </c>
      <c r="AE70" s="89">
        <f t="shared" si="52"/>
        <v>0</v>
      </c>
      <c r="AF70" s="89">
        <f t="shared" si="52"/>
        <v>0</v>
      </c>
      <c r="AG70" s="89">
        <f t="shared" si="52"/>
        <v>0</v>
      </c>
      <c r="AH70" s="89">
        <f t="shared" si="52"/>
        <v>0</v>
      </c>
      <c r="AI70" s="102">
        <f t="shared" si="52"/>
        <v>0</v>
      </c>
    </row>
    <row r="71" spans="1:160" s="80" customFormat="1">
      <c r="A71" s="95"/>
      <c r="B71" s="96" t="s">
        <v>70</v>
      </c>
      <c r="C71" s="97"/>
      <c r="D71" s="56"/>
      <c r="E71" s="103">
        <f>D7</f>
        <v>0</v>
      </c>
      <c r="F71" s="103">
        <f>D9</f>
        <v>0</v>
      </c>
      <c r="G71" s="103">
        <f>D11</f>
        <v>0</v>
      </c>
      <c r="H71" s="103">
        <f>D13</f>
        <v>0</v>
      </c>
      <c r="I71" s="103">
        <f>D15</f>
        <v>0</v>
      </c>
      <c r="J71" s="104">
        <f>$D17</f>
        <v>0</v>
      </c>
      <c r="K71" s="104">
        <f>$D19</f>
        <v>0</v>
      </c>
      <c r="L71" s="104">
        <f>$D21</f>
        <v>0</v>
      </c>
      <c r="M71" s="104">
        <f>$D23</f>
        <v>0</v>
      </c>
      <c r="N71" s="104">
        <f>$D25</f>
        <v>0</v>
      </c>
      <c r="O71" s="104">
        <f>$D27</f>
        <v>0</v>
      </c>
      <c r="P71" s="104">
        <f>$D29</f>
        <v>0</v>
      </c>
      <c r="Q71" s="104">
        <f>$D31</f>
        <v>0</v>
      </c>
      <c r="R71" s="104">
        <f>$D33</f>
        <v>0</v>
      </c>
      <c r="S71" s="104">
        <f>$D35</f>
        <v>0</v>
      </c>
      <c r="T71" s="104">
        <f>$D37</f>
        <v>0</v>
      </c>
      <c r="U71" s="104">
        <f>$D39</f>
        <v>0</v>
      </c>
      <c r="V71" s="104">
        <f>$D41</f>
        <v>0</v>
      </c>
      <c r="W71" s="104">
        <f>$D43</f>
        <v>0</v>
      </c>
      <c r="X71" s="104">
        <f>$D45</f>
        <v>0</v>
      </c>
      <c r="Y71" s="104">
        <f>$D47</f>
        <v>0</v>
      </c>
      <c r="Z71" s="104">
        <f>$D49</f>
        <v>0</v>
      </c>
      <c r="AA71" s="104">
        <f>$D51</f>
        <v>0</v>
      </c>
      <c r="AB71" s="104">
        <f>$D53</f>
        <v>0</v>
      </c>
      <c r="AC71" s="104">
        <f>$D55</f>
        <v>0</v>
      </c>
      <c r="AD71" s="104">
        <f>$D57</f>
        <v>0</v>
      </c>
      <c r="AE71" s="104">
        <f>$D59</f>
        <v>0</v>
      </c>
      <c r="AF71" s="104">
        <f>$D61</f>
        <v>0</v>
      </c>
      <c r="AG71" s="104">
        <f>$D63</f>
        <v>0</v>
      </c>
      <c r="AH71" s="104">
        <f>$D65</f>
        <v>0</v>
      </c>
      <c r="AI71" s="104">
        <f>$D67</f>
        <v>0</v>
      </c>
      <c r="AJ71" s="64">
        <f>SUM(E71:AI71)</f>
        <v>0</v>
      </c>
    </row>
    <row r="72" spans="1:160">
      <c r="B72" s="105" t="s">
        <v>71</v>
      </c>
      <c r="C72" s="106"/>
      <c r="D72" s="57"/>
      <c r="E72" s="107">
        <f>E71</f>
        <v>0</v>
      </c>
      <c r="F72" s="107">
        <f>E72+F71</f>
        <v>0</v>
      </c>
      <c r="G72" s="107">
        <f t="shared" ref="G72:AI72" si="53">F72+G71</f>
        <v>0</v>
      </c>
      <c r="H72" s="107">
        <f t="shared" si="53"/>
        <v>0</v>
      </c>
      <c r="I72" s="107">
        <f t="shared" si="53"/>
        <v>0</v>
      </c>
      <c r="J72" s="107">
        <f t="shared" si="53"/>
        <v>0</v>
      </c>
      <c r="K72" s="107">
        <f t="shared" si="53"/>
        <v>0</v>
      </c>
      <c r="L72" s="107">
        <f t="shared" si="53"/>
        <v>0</v>
      </c>
      <c r="M72" s="107">
        <f t="shared" si="53"/>
        <v>0</v>
      </c>
      <c r="N72" s="107">
        <f t="shared" si="53"/>
        <v>0</v>
      </c>
      <c r="O72" s="107">
        <f t="shared" si="53"/>
        <v>0</v>
      </c>
      <c r="P72" s="107">
        <f t="shared" si="53"/>
        <v>0</v>
      </c>
      <c r="Q72" s="107">
        <f t="shared" si="53"/>
        <v>0</v>
      </c>
      <c r="R72" s="107">
        <f t="shared" si="53"/>
        <v>0</v>
      </c>
      <c r="S72" s="107">
        <f t="shared" si="53"/>
        <v>0</v>
      </c>
      <c r="T72" s="107">
        <f t="shared" si="53"/>
        <v>0</v>
      </c>
      <c r="U72" s="107">
        <f t="shared" si="53"/>
        <v>0</v>
      </c>
      <c r="V72" s="107">
        <f t="shared" si="53"/>
        <v>0</v>
      </c>
      <c r="W72" s="107">
        <f t="shared" si="53"/>
        <v>0</v>
      </c>
      <c r="X72" s="107">
        <f t="shared" si="53"/>
        <v>0</v>
      </c>
      <c r="Y72" s="107">
        <f t="shared" si="53"/>
        <v>0</v>
      </c>
      <c r="Z72" s="107">
        <f t="shared" si="53"/>
        <v>0</v>
      </c>
      <c r="AA72" s="107">
        <f t="shared" si="53"/>
        <v>0</v>
      </c>
      <c r="AB72" s="107">
        <f t="shared" si="53"/>
        <v>0</v>
      </c>
      <c r="AC72" s="107">
        <f t="shared" si="53"/>
        <v>0</v>
      </c>
      <c r="AD72" s="107">
        <f t="shared" si="53"/>
        <v>0</v>
      </c>
      <c r="AE72" s="107">
        <f t="shared" si="53"/>
        <v>0</v>
      </c>
      <c r="AF72" s="107">
        <f t="shared" si="53"/>
        <v>0</v>
      </c>
      <c r="AG72" s="107">
        <f t="shared" si="53"/>
        <v>0</v>
      </c>
      <c r="AH72" s="107">
        <f t="shared" si="53"/>
        <v>0</v>
      </c>
      <c r="AI72" s="107">
        <f t="shared" si="53"/>
        <v>0</v>
      </c>
    </row>
    <row r="73" spans="1:160">
      <c r="B73" s="80"/>
      <c r="C73" s="108"/>
      <c r="D73" s="58"/>
    </row>
    <row r="74" spans="1:160" ht="30">
      <c r="A74" s="68"/>
      <c r="B74" s="69" t="s">
        <v>143</v>
      </c>
      <c r="C74" s="49" t="s">
        <v>64</v>
      </c>
      <c r="D74" s="50" t="s">
        <v>65</v>
      </c>
      <c r="E74" s="51" t="str">
        <f>E3</f>
        <v>Anno 1</v>
      </c>
      <c r="F74" s="51" t="str">
        <f t="shared" ref="F74:AI74" si="54">F3</f>
        <v>Anno 2</v>
      </c>
      <c r="G74" s="51" t="str">
        <f t="shared" si="54"/>
        <v>Anno 3</v>
      </c>
      <c r="H74" s="51" t="str">
        <f t="shared" si="54"/>
        <v>Anno 4</v>
      </c>
      <c r="I74" s="51" t="str">
        <f t="shared" si="54"/>
        <v>Anno 5</v>
      </c>
      <c r="J74" s="51" t="str">
        <f t="shared" si="54"/>
        <v>Anno 6</v>
      </c>
      <c r="K74" s="51" t="str">
        <f t="shared" si="54"/>
        <v>Anno 7</v>
      </c>
      <c r="L74" s="51" t="str">
        <f t="shared" si="54"/>
        <v>Anno 8</v>
      </c>
      <c r="M74" s="51" t="str">
        <f t="shared" si="54"/>
        <v>Anno 9</v>
      </c>
      <c r="N74" s="51" t="str">
        <f t="shared" si="54"/>
        <v>Anno 10</v>
      </c>
      <c r="O74" s="51" t="str">
        <f t="shared" si="54"/>
        <v>Anno 11</v>
      </c>
      <c r="P74" s="51" t="str">
        <f t="shared" si="54"/>
        <v>Anno 12</v>
      </c>
      <c r="Q74" s="51" t="str">
        <f t="shared" si="54"/>
        <v>Anno 13</v>
      </c>
      <c r="R74" s="51" t="str">
        <f t="shared" si="54"/>
        <v>Anno 14</v>
      </c>
      <c r="S74" s="51" t="str">
        <f t="shared" si="54"/>
        <v>Anno 15</v>
      </c>
      <c r="T74" s="51" t="str">
        <f t="shared" si="54"/>
        <v>Anno 16</v>
      </c>
      <c r="U74" s="51" t="str">
        <f t="shared" si="54"/>
        <v>Anno 17</v>
      </c>
      <c r="V74" s="51" t="str">
        <f t="shared" si="54"/>
        <v>Anno 18</v>
      </c>
      <c r="W74" s="51" t="str">
        <f t="shared" si="54"/>
        <v>Anno 19</v>
      </c>
      <c r="X74" s="51" t="str">
        <f t="shared" si="54"/>
        <v>Anno 20</v>
      </c>
      <c r="Y74" s="51" t="str">
        <f t="shared" si="54"/>
        <v>Anno 21</v>
      </c>
      <c r="Z74" s="51" t="str">
        <f t="shared" si="54"/>
        <v>Anno 22</v>
      </c>
      <c r="AA74" s="51" t="str">
        <f t="shared" si="54"/>
        <v>Anno 23</v>
      </c>
      <c r="AB74" s="51" t="str">
        <f t="shared" si="54"/>
        <v>Anno 24</v>
      </c>
      <c r="AC74" s="51" t="str">
        <f t="shared" si="54"/>
        <v>Anno 25</v>
      </c>
      <c r="AD74" s="51" t="str">
        <f t="shared" si="54"/>
        <v>Anno 26</v>
      </c>
      <c r="AE74" s="51" t="str">
        <f t="shared" si="54"/>
        <v>Anno 27</v>
      </c>
      <c r="AF74" s="51" t="str">
        <f t="shared" si="54"/>
        <v>Anno 28</v>
      </c>
      <c r="AG74" s="51" t="str">
        <f t="shared" si="54"/>
        <v>Anno 29</v>
      </c>
      <c r="AH74" s="51" t="str">
        <f t="shared" si="54"/>
        <v>Anno 30</v>
      </c>
      <c r="AI74" s="51" t="str">
        <f t="shared" si="54"/>
        <v>Anno 31</v>
      </c>
    </row>
    <row r="75" spans="1:160" ht="4.5" customHeight="1">
      <c r="AI75" s="70"/>
    </row>
    <row r="76" spans="1:160">
      <c r="B76" s="71" t="str">
        <f>+Ipotesi!$A$31</f>
        <v>Opere edili</v>
      </c>
      <c r="C76" s="72">
        <f>Ipotesi!$C$42</f>
        <v>0</v>
      </c>
      <c r="D76" s="73"/>
      <c r="E76" s="74">
        <f t="shared" ref="E76:AI76" si="55">IF($D76*$C76&gt;=D77,D77,$D76*$C76)</f>
        <v>0</v>
      </c>
      <c r="F76" s="75">
        <f t="shared" si="55"/>
        <v>0</v>
      </c>
      <c r="G76" s="75">
        <f t="shared" si="55"/>
        <v>0</v>
      </c>
      <c r="H76" s="75">
        <f t="shared" si="55"/>
        <v>0</v>
      </c>
      <c r="I76" s="75">
        <f t="shared" si="55"/>
        <v>0</v>
      </c>
      <c r="J76" s="75">
        <f t="shared" si="55"/>
        <v>0</v>
      </c>
      <c r="K76" s="75">
        <f t="shared" si="55"/>
        <v>0</v>
      </c>
      <c r="L76" s="75">
        <f t="shared" si="55"/>
        <v>0</v>
      </c>
      <c r="M76" s="75">
        <f t="shared" si="55"/>
        <v>0</v>
      </c>
      <c r="N76" s="75">
        <f t="shared" si="55"/>
        <v>0</v>
      </c>
      <c r="O76" s="75">
        <f t="shared" si="55"/>
        <v>0</v>
      </c>
      <c r="P76" s="75">
        <f t="shared" si="55"/>
        <v>0</v>
      </c>
      <c r="Q76" s="75">
        <f t="shared" si="55"/>
        <v>0</v>
      </c>
      <c r="R76" s="75">
        <f t="shared" si="55"/>
        <v>0</v>
      </c>
      <c r="S76" s="75">
        <f t="shared" si="55"/>
        <v>0</v>
      </c>
      <c r="T76" s="75">
        <f t="shared" si="55"/>
        <v>0</v>
      </c>
      <c r="U76" s="75">
        <f t="shared" si="55"/>
        <v>0</v>
      </c>
      <c r="V76" s="75">
        <f t="shared" si="55"/>
        <v>0</v>
      </c>
      <c r="W76" s="75">
        <f t="shared" si="55"/>
        <v>0</v>
      </c>
      <c r="X76" s="75">
        <f t="shared" si="55"/>
        <v>0</v>
      </c>
      <c r="Y76" s="75">
        <f t="shared" si="55"/>
        <v>0</v>
      </c>
      <c r="Z76" s="75">
        <f t="shared" si="55"/>
        <v>0</v>
      </c>
      <c r="AA76" s="75">
        <f t="shared" si="55"/>
        <v>0</v>
      </c>
      <c r="AB76" s="75">
        <f t="shared" si="55"/>
        <v>0</v>
      </c>
      <c r="AC76" s="75">
        <f t="shared" si="55"/>
        <v>0</v>
      </c>
      <c r="AD76" s="75">
        <f t="shared" si="55"/>
        <v>0</v>
      </c>
      <c r="AE76" s="75">
        <f t="shared" si="55"/>
        <v>0</v>
      </c>
      <c r="AF76" s="75">
        <f t="shared" si="55"/>
        <v>0</v>
      </c>
      <c r="AG76" s="75">
        <f t="shared" si="55"/>
        <v>0</v>
      </c>
      <c r="AH76" s="75">
        <f t="shared" si="55"/>
        <v>0</v>
      </c>
      <c r="AI76" s="76">
        <f t="shared" si="55"/>
        <v>0</v>
      </c>
    </row>
    <row r="77" spans="1:160">
      <c r="B77" s="71" t="s">
        <v>61</v>
      </c>
      <c r="C77" s="72"/>
      <c r="D77" s="77"/>
      <c r="E77" s="78">
        <f>D77-E76</f>
        <v>0</v>
      </c>
      <c r="F77" s="63">
        <f t="shared" ref="F77:AI77" si="56">IF(E77-F76&gt;0,E77-F76,0)</f>
        <v>0</v>
      </c>
      <c r="G77" s="63">
        <f t="shared" si="56"/>
        <v>0</v>
      </c>
      <c r="H77" s="63">
        <f t="shared" si="56"/>
        <v>0</v>
      </c>
      <c r="I77" s="63">
        <f t="shared" si="56"/>
        <v>0</v>
      </c>
      <c r="J77" s="63">
        <f t="shared" si="56"/>
        <v>0</v>
      </c>
      <c r="K77" s="63">
        <f t="shared" si="56"/>
        <v>0</v>
      </c>
      <c r="L77" s="63">
        <f t="shared" si="56"/>
        <v>0</v>
      </c>
      <c r="M77" s="63">
        <f t="shared" si="56"/>
        <v>0</v>
      </c>
      <c r="N77" s="63">
        <f t="shared" si="56"/>
        <v>0</v>
      </c>
      <c r="O77" s="63">
        <f t="shared" si="56"/>
        <v>0</v>
      </c>
      <c r="P77" s="63">
        <f t="shared" si="56"/>
        <v>0</v>
      </c>
      <c r="Q77" s="63">
        <f t="shared" si="56"/>
        <v>0</v>
      </c>
      <c r="R77" s="63">
        <f t="shared" si="56"/>
        <v>0</v>
      </c>
      <c r="S77" s="63">
        <f t="shared" si="56"/>
        <v>0</v>
      </c>
      <c r="T77" s="63">
        <f t="shared" si="56"/>
        <v>0</v>
      </c>
      <c r="U77" s="63">
        <f t="shared" si="56"/>
        <v>0</v>
      </c>
      <c r="V77" s="63">
        <f t="shared" si="56"/>
        <v>0</v>
      </c>
      <c r="W77" s="63">
        <f t="shared" si="56"/>
        <v>0</v>
      </c>
      <c r="X77" s="63">
        <f t="shared" si="56"/>
        <v>0</v>
      </c>
      <c r="Y77" s="63">
        <f t="shared" si="56"/>
        <v>0</v>
      </c>
      <c r="Z77" s="63">
        <f t="shared" si="56"/>
        <v>0</v>
      </c>
      <c r="AA77" s="63">
        <f t="shared" si="56"/>
        <v>0</v>
      </c>
      <c r="AB77" s="63">
        <f t="shared" si="56"/>
        <v>0</v>
      </c>
      <c r="AC77" s="63">
        <f t="shared" si="56"/>
        <v>0</v>
      </c>
      <c r="AD77" s="63">
        <f t="shared" si="56"/>
        <v>0</v>
      </c>
      <c r="AE77" s="63">
        <f t="shared" si="56"/>
        <v>0</v>
      </c>
      <c r="AF77" s="63">
        <f t="shared" si="56"/>
        <v>0</v>
      </c>
      <c r="AG77" s="63">
        <f t="shared" si="56"/>
        <v>0</v>
      </c>
      <c r="AH77" s="63">
        <f t="shared" si="56"/>
        <v>0</v>
      </c>
      <c r="AI77" s="79">
        <f t="shared" si="56"/>
        <v>0</v>
      </c>
    </row>
    <row r="78" spans="1:160" s="80" customFormat="1">
      <c r="A78" s="95" t="str">
        <f>E74</f>
        <v>Anno 1</v>
      </c>
      <c r="B78" s="80" t="str">
        <f>$B76</f>
        <v>Opere edili</v>
      </c>
      <c r="C78" s="81">
        <f>$C$76</f>
        <v>0</v>
      </c>
      <c r="D78" s="52">
        <f>Ipotesi!C31</f>
        <v>0</v>
      </c>
      <c r="E78" s="82">
        <f t="shared" ref="E78:AI78" si="57">IF($D78*$C78&gt;=D79,D79,$D78*$C78)</f>
        <v>0</v>
      </c>
      <c r="F78" s="83">
        <f t="shared" si="57"/>
        <v>0</v>
      </c>
      <c r="G78" s="83">
        <f t="shared" si="57"/>
        <v>0</v>
      </c>
      <c r="H78" s="83">
        <f t="shared" si="57"/>
        <v>0</v>
      </c>
      <c r="I78" s="83">
        <f t="shared" si="57"/>
        <v>0</v>
      </c>
      <c r="J78" s="83">
        <f t="shared" si="57"/>
        <v>0</v>
      </c>
      <c r="K78" s="83">
        <f t="shared" si="57"/>
        <v>0</v>
      </c>
      <c r="L78" s="83">
        <f t="shared" si="57"/>
        <v>0</v>
      </c>
      <c r="M78" s="83">
        <f t="shared" si="57"/>
        <v>0</v>
      </c>
      <c r="N78" s="83">
        <f t="shared" si="57"/>
        <v>0</v>
      </c>
      <c r="O78" s="83">
        <f t="shared" si="57"/>
        <v>0</v>
      </c>
      <c r="P78" s="83">
        <f t="shared" si="57"/>
        <v>0</v>
      </c>
      <c r="Q78" s="83">
        <f t="shared" si="57"/>
        <v>0</v>
      </c>
      <c r="R78" s="83">
        <f t="shared" si="57"/>
        <v>0</v>
      </c>
      <c r="S78" s="83">
        <f t="shared" si="57"/>
        <v>0</v>
      </c>
      <c r="T78" s="83">
        <f t="shared" si="57"/>
        <v>0</v>
      </c>
      <c r="U78" s="83">
        <f t="shared" si="57"/>
        <v>0</v>
      </c>
      <c r="V78" s="83">
        <f t="shared" si="57"/>
        <v>0</v>
      </c>
      <c r="W78" s="83">
        <f t="shared" si="57"/>
        <v>0</v>
      </c>
      <c r="X78" s="83">
        <f t="shared" si="57"/>
        <v>0</v>
      </c>
      <c r="Y78" s="83">
        <f t="shared" si="57"/>
        <v>0</v>
      </c>
      <c r="Z78" s="83">
        <f t="shared" si="57"/>
        <v>0</v>
      </c>
      <c r="AA78" s="83">
        <f t="shared" si="57"/>
        <v>0</v>
      </c>
      <c r="AB78" s="83">
        <f t="shared" si="57"/>
        <v>0</v>
      </c>
      <c r="AC78" s="83">
        <f t="shared" si="57"/>
        <v>0</v>
      </c>
      <c r="AD78" s="83">
        <f t="shared" si="57"/>
        <v>0</v>
      </c>
      <c r="AE78" s="83">
        <f t="shared" si="57"/>
        <v>0</v>
      </c>
      <c r="AF78" s="83">
        <f t="shared" si="57"/>
        <v>0</v>
      </c>
      <c r="AG78" s="83">
        <f t="shared" si="57"/>
        <v>0</v>
      </c>
      <c r="AH78" s="83">
        <f t="shared" si="57"/>
        <v>0</v>
      </c>
      <c r="AI78" s="84">
        <f t="shared" si="57"/>
        <v>0</v>
      </c>
      <c r="FD78" s="59"/>
    </row>
    <row r="79" spans="1:160">
      <c r="A79" s="60" t="str">
        <f>E74</f>
        <v>Anno 1</v>
      </c>
      <c r="B79" s="59" t="s">
        <v>61</v>
      </c>
      <c r="C79" s="81"/>
      <c r="D79" s="52">
        <f>D78</f>
        <v>0</v>
      </c>
      <c r="E79" s="78">
        <f>$D79-E78</f>
        <v>0</v>
      </c>
      <c r="F79" s="63">
        <f t="shared" ref="F79:AI79" si="58">IF(E79-F78&gt;0,E79-F78,0)</f>
        <v>0</v>
      </c>
      <c r="G79" s="63">
        <f t="shared" si="58"/>
        <v>0</v>
      </c>
      <c r="H79" s="63">
        <f t="shared" si="58"/>
        <v>0</v>
      </c>
      <c r="I79" s="63">
        <f t="shared" si="58"/>
        <v>0</v>
      </c>
      <c r="J79" s="63">
        <f t="shared" si="58"/>
        <v>0</v>
      </c>
      <c r="K79" s="63">
        <f t="shared" si="58"/>
        <v>0</v>
      </c>
      <c r="L79" s="63">
        <f t="shared" si="58"/>
        <v>0</v>
      </c>
      <c r="M79" s="63">
        <f t="shared" si="58"/>
        <v>0</v>
      </c>
      <c r="N79" s="63">
        <f t="shared" si="58"/>
        <v>0</v>
      </c>
      <c r="O79" s="63">
        <f t="shared" si="58"/>
        <v>0</v>
      </c>
      <c r="P79" s="63">
        <f t="shared" si="58"/>
        <v>0</v>
      </c>
      <c r="Q79" s="63">
        <f t="shared" si="58"/>
        <v>0</v>
      </c>
      <c r="R79" s="63">
        <f t="shared" si="58"/>
        <v>0</v>
      </c>
      <c r="S79" s="63">
        <f t="shared" si="58"/>
        <v>0</v>
      </c>
      <c r="T79" s="63">
        <f t="shared" si="58"/>
        <v>0</v>
      </c>
      <c r="U79" s="63">
        <f t="shared" si="58"/>
        <v>0</v>
      </c>
      <c r="V79" s="63">
        <f t="shared" si="58"/>
        <v>0</v>
      </c>
      <c r="W79" s="63">
        <f t="shared" si="58"/>
        <v>0</v>
      </c>
      <c r="X79" s="63">
        <f t="shared" si="58"/>
        <v>0</v>
      </c>
      <c r="Y79" s="63">
        <f t="shared" si="58"/>
        <v>0</v>
      </c>
      <c r="Z79" s="63">
        <f t="shared" si="58"/>
        <v>0</v>
      </c>
      <c r="AA79" s="63">
        <f t="shared" si="58"/>
        <v>0</v>
      </c>
      <c r="AB79" s="63">
        <f t="shared" si="58"/>
        <v>0</v>
      </c>
      <c r="AC79" s="63">
        <f t="shared" si="58"/>
        <v>0</v>
      </c>
      <c r="AD79" s="63">
        <f t="shared" si="58"/>
        <v>0</v>
      </c>
      <c r="AE79" s="63">
        <f t="shared" si="58"/>
        <v>0</v>
      </c>
      <c r="AF79" s="63">
        <f t="shared" si="58"/>
        <v>0</v>
      </c>
      <c r="AG79" s="63">
        <f t="shared" si="58"/>
        <v>0</v>
      </c>
      <c r="AH79" s="63">
        <f t="shared" si="58"/>
        <v>0</v>
      </c>
      <c r="AI79" s="79">
        <f t="shared" si="58"/>
        <v>0</v>
      </c>
    </row>
    <row r="80" spans="1:160" s="80" customFormat="1">
      <c r="A80" s="95" t="str">
        <f>F74</f>
        <v>Anno 2</v>
      </c>
      <c r="B80" s="80" t="str">
        <f>$B76</f>
        <v>Opere edili</v>
      </c>
      <c r="C80" s="81">
        <f>$C$76</f>
        <v>0</v>
      </c>
      <c r="D80" s="52">
        <f>Ipotesi!D31</f>
        <v>0</v>
      </c>
      <c r="E80" s="85"/>
      <c r="F80" s="64">
        <f>IF($D80*$C80&gt;=$D81,$D81,$D80*$C80)</f>
        <v>0</v>
      </c>
      <c r="G80" s="64">
        <f t="shared" ref="G80:AI80" si="59">IF($D80*$C80&gt;=F81,F81,$D80*$C80)</f>
        <v>0</v>
      </c>
      <c r="H80" s="64">
        <f t="shared" si="59"/>
        <v>0</v>
      </c>
      <c r="I80" s="64">
        <f t="shared" si="59"/>
        <v>0</v>
      </c>
      <c r="J80" s="64">
        <f t="shared" si="59"/>
        <v>0</v>
      </c>
      <c r="K80" s="64">
        <f t="shared" si="59"/>
        <v>0</v>
      </c>
      <c r="L80" s="64">
        <f t="shared" si="59"/>
        <v>0</v>
      </c>
      <c r="M80" s="64">
        <f t="shared" si="59"/>
        <v>0</v>
      </c>
      <c r="N80" s="64">
        <f t="shared" si="59"/>
        <v>0</v>
      </c>
      <c r="O80" s="64">
        <f t="shared" si="59"/>
        <v>0</v>
      </c>
      <c r="P80" s="64">
        <f t="shared" si="59"/>
        <v>0</v>
      </c>
      <c r="Q80" s="64">
        <f t="shared" si="59"/>
        <v>0</v>
      </c>
      <c r="R80" s="64">
        <f t="shared" si="59"/>
        <v>0</v>
      </c>
      <c r="S80" s="64">
        <f t="shared" si="59"/>
        <v>0</v>
      </c>
      <c r="T80" s="64">
        <f t="shared" si="59"/>
        <v>0</v>
      </c>
      <c r="U80" s="64">
        <f t="shared" si="59"/>
        <v>0</v>
      </c>
      <c r="V80" s="64">
        <f t="shared" si="59"/>
        <v>0</v>
      </c>
      <c r="W80" s="64">
        <f t="shared" si="59"/>
        <v>0</v>
      </c>
      <c r="X80" s="64">
        <f t="shared" si="59"/>
        <v>0</v>
      </c>
      <c r="Y80" s="64">
        <f t="shared" si="59"/>
        <v>0</v>
      </c>
      <c r="Z80" s="64">
        <f t="shared" si="59"/>
        <v>0</v>
      </c>
      <c r="AA80" s="64">
        <f t="shared" si="59"/>
        <v>0</v>
      </c>
      <c r="AB80" s="64">
        <f t="shared" si="59"/>
        <v>0</v>
      </c>
      <c r="AC80" s="64">
        <f t="shared" si="59"/>
        <v>0</v>
      </c>
      <c r="AD80" s="64">
        <f t="shared" si="59"/>
        <v>0</v>
      </c>
      <c r="AE80" s="64">
        <f t="shared" si="59"/>
        <v>0</v>
      </c>
      <c r="AF80" s="64">
        <f t="shared" si="59"/>
        <v>0</v>
      </c>
      <c r="AG80" s="64">
        <f t="shared" si="59"/>
        <v>0</v>
      </c>
      <c r="AH80" s="64">
        <f t="shared" si="59"/>
        <v>0</v>
      </c>
      <c r="AI80" s="86">
        <f t="shared" si="59"/>
        <v>0</v>
      </c>
      <c r="FD80" s="59"/>
    </row>
    <row r="81" spans="1:160">
      <c r="A81" s="60" t="str">
        <f>F74</f>
        <v>Anno 2</v>
      </c>
      <c r="B81" s="59" t="s">
        <v>61</v>
      </c>
      <c r="C81" s="81"/>
      <c r="D81" s="52">
        <f>D80</f>
        <v>0</v>
      </c>
      <c r="E81" s="78"/>
      <c r="F81" s="63">
        <f>$D81-F80</f>
        <v>0</v>
      </c>
      <c r="G81" s="63">
        <f t="shared" ref="G81:AI81" si="60">IF(F81-G80&gt;0,F81-G80,0)</f>
        <v>0</v>
      </c>
      <c r="H81" s="63">
        <f t="shared" si="60"/>
        <v>0</v>
      </c>
      <c r="I81" s="63">
        <f t="shared" si="60"/>
        <v>0</v>
      </c>
      <c r="J81" s="63">
        <f t="shared" si="60"/>
        <v>0</v>
      </c>
      <c r="K81" s="63">
        <f t="shared" si="60"/>
        <v>0</v>
      </c>
      <c r="L81" s="63">
        <f t="shared" si="60"/>
        <v>0</v>
      </c>
      <c r="M81" s="63">
        <f t="shared" si="60"/>
        <v>0</v>
      </c>
      <c r="N81" s="63">
        <f t="shared" si="60"/>
        <v>0</v>
      </c>
      <c r="O81" s="63">
        <f t="shared" si="60"/>
        <v>0</v>
      </c>
      <c r="P81" s="63">
        <f t="shared" si="60"/>
        <v>0</v>
      </c>
      <c r="Q81" s="63">
        <f t="shared" si="60"/>
        <v>0</v>
      </c>
      <c r="R81" s="63">
        <f t="shared" si="60"/>
        <v>0</v>
      </c>
      <c r="S81" s="63">
        <f t="shared" si="60"/>
        <v>0</v>
      </c>
      <c r="T81" s="63">
        <f t="shared" si="60"/>
        <v>0</v>
      </c>
      <c r="U81" s="63">
        <f t="shared" si="60"/>
        <v>0</v>
      </c>
      <c r="V81" s="63">
        <f t="shared" si="60"/>
        <v>0</v>
      </c>
      <c r="W81" s="63">
        <f t="shared" si="60"/>
        <v>0</v>
      </c>
      <c r="X81" s="63">
        <f t="shared" si="60"/>
        <v>0</v>
      </c>
      <c r="Y81" s="63">
        <f t="shared" si="60"/>
        <v>0</v>
      </c>
      <c r="Z81" s="63">
        <f t="shared" si="60"/>
        <v>0</v>
      </c>
      <c r="AA81" s="63">
        <f t="shared" si="60"/>
        <v>0</v>
      </c>
      <c r="AB81" s="63">
        <f t="shared" si="60"/>
        <v>0</v>
      </c>
      <c r="AC81" s="63">
        <f t="shared" si="60"/>
        <v>0</v>
      </c>
      <c r="AD81" s="63">
        <f t="shared" si="60"/>
        <v>0</v>
      </c>
      <c r="AE81" s="63">
        <f t="shared" si="60"/>
        <v>0</v>
      </c>
      <c r="AF81" s="63">
        <f t="shared" si="60"/>
        <v>0</v>
      </c>
      <c r="AG81" s="63">
        <f t="shared" si="60"/>
        <v>0</v>
      </c>
      <c r="AH81" s="63">
        <f t="shared" si="60"/>
        <v>0</v>
      </c>
      <c r="AI81" s="79">
        <f t="shared" si="60"/>
        <v>0</v>
      </c>
    </row>
    <row r="82" spans="1:160" s="80" customFormat="1">
      <c r="A82" s="95" t="str">
        <f>G74</f>
        <v>Anno 3</v>
      </c>
      <c r="B82" s="80" t="str">
        <f>$B76</f>
        <v>Opere edili</v>
      </c>
      <c r="C82" s="81">
        <f>$C$76</f>
        <v>0</v>
      </c>
      <c r="D82" s="52">
        <f>Ipotesi!E31</f>
        <v>0</v>
      </c>
      <c r="E82" s="85"/>
      <c r="F82" s="64"/>
      <c r="G82" s="64">
        <f>IF($D82*$C82&gt;=$D83,$D83,$D82*$C82)</f>
        <v>0</v>
      </c>
      <c r="H82" s="64">
        <f t="shared" ref="H82:AI82" si="61">IF($D82*$C82&gt;=G83,G83,$D82*$C82)</f>
        <v>0</v>
      </c>
      <c r="I82" s="64">
        <f t="shared" si="61"/>
        <v>0</v>
      </c>
      <c r="J82" s="64">
        <f t="shared" si="61"/>
        <v>0</v>
      </c>
      <c r="K82" s="64">
        <f t="shared" si="61"/>
        <v>0</v>
      </c>
      <c r="L82" s="64">
        <f t="shared" si="61"/>
        <v>0</v>
      </c>
      <c r="M82" s="64">
        <f t="shared" si="61"/>
        <v>0</v>
      </c>
      <c r="N82" s="64">
        <f t="shared" si="61"/>
        <v>0</v>
      </c>
      <c r="O82" s="64">
        <f t="shared" si="61"/>
        <v>0</v>
      </c>
      <c r="P82" s="64">
        <f t="shared" si="61"/>
        <v>0</v>
      </c>
      <c r="Q82" s="64">
        <f t="shared" si="61"/>
        <v>0</v>
      </c>
      <c r="R82" s="64">
        <f t="shared" si="61"/>
        <v>0</v>
      </c>
      <c r="S82" s="64">
        <f t="shared" si="61"/>
        <v>0</v>
      </c>
      <c r="T82" s="64">
        <f t="shared" si="61"/>
        <v>0</v>
      </c>
      <c r="U82" s="64">
        <f t="shared" si="61"/>
        <v>0</v>
      </c>
      <c r="V82" s="64">
        <f t="shared" si="61"/>
        <v>0</v>
      </c>
      <c r="W82" s="64">
        <f t="shared" si="61"/>
        <v>0</v>
      </c>
      <c r="X82" s="64">
        <f t="shared" si="61"/>
        <v>0</v>
      </c>
      <c r="Y82" s="64">
        <f t="shared" si="61"/>
        <v>0</v>
      </c>
      <c r="Z82" s="64">
        <f t="shared" si="61"/>
        <v>0</v>
      </c>
      <c r="AA82" s="64">
        <f t="shared" si="61"/>
        <v>0</v>
      </c>
      <c r="AB82" s="64">
        <f t="shared" si="61"/>
        <v>0</v>
      </c>
      <c r="AC82" s="64">
        <f t="shared" si="61"/>
        <v>0</v>
      </c>
      <c r="AD82" s="64">
        <f t="shared" si="61"/>
        <v>0</v>
      </c>
      <c r="AE82" s="64">
        <f t="shared" si="61"/>
        <v>0</v>
      </c>
      <c r="AF82" s="64">
        <f t="shared" si="61"/>
        <v>0</v>
      </c>
      <c r="AG82" s="64">
        <f t="shared" si="61"/>
        <v>0</v>
      </c>
      <c r="AH82" s="64">
        <f t="shared" si="61"/>
        <v>0</v>
      </c>
      <c r="AI82" s="86">
        <f t="shared" si="61"/>
        <v>0</v>
      </c>
      <c r="FD82" s="59"/>
    </row>
    <row r="83" spans="1:160">
      <c r="A83" s="60" t="str">
        <f>G74</f>
        <v>Anno 3</v>
      </c>
      <c r="B83" s="59" t="s">
        <v>61</v>
      </c>
      <c r="C83" s="81"/>
      <c r="D83" s="52">
        <f>D82</f>
        <v>0</v>
      </c>
      <c r="E83" s="78"/>
      <c r="G83" s="63">
        <f>$D83-G82</f>
        <v>0</v>
      </c>
      <c r="H83" s="63">
        <f t="shared" ref="H83:AI83" si="62">IF(G83-H82&gt;0,G83-H82,0)</f>
        <v>0</v>
      </c>
      <c r="I83" s="63">
        <f t="shared" si="62"/>
        <v>0</v>
      </c>
      <c r="J83" s="63">
        <f t="shared" si="62"/>
        <v>0</v>
      </c>
      <c r="K83" s="63">
        <f t="shared" si="62"/>
        <v>0</v>
      </c>
      <c r="L83" s="63">
        <f t="shared" si="62"/>
        <v>0</v>
      </c>
      <c r="M83" s="63">
        <f t="shared" si="62"/>
        <v>0</v>
      </c>
      <c r="N83" s="63">
        <f t="shared" si="62"/>
        <v>0</v>
      </c>
      <c r="O83" s="63">
        <f t="shared" si="62"/>
        <v>0</v>
      </c>
      <c r="P83" s="63">
        <f t="shared" si="62"/>
        <v>0</v>
      </c>
      <c r="Q83" s="63">
        <f t="shared" si="62"/>
        <v>0</v>
      </c>
      <c r="R83" s="63">
        <f t="shared" si="62"/>
        <v>0</v>
      </c>
      <c r="S83" s="63">
        <f t="shared" si="62"/>
        <v>0</v>
      </c>
      <c r="T83" s="63">
        <f t="shared" si="62"/>
        <v>0</v>
      </c>
      <c r="U83" s="63">
        <f t="shared" si="62"/>
        <v>0</v>
      </c>
      <c r="V83" s="63">
        <f t="shared" si="62"/>
        <v>0</v>
      </c>
      <c r="W83" s="63">
        <f t="shared" si="62"/>
        <v>0</v>
      </c>
      <c r="X83" s="63">
        <f t="shared" si="62"/>
        <v>0</v>
      </c>
      <c r="Y83" s="63">
        <f t="shared" si="62"/>
        <v>0</v>
      </c>
      <c r="Z83" s="63">
        <f t="shared" si="62"/>
        <v>0</v>
      </c>
      <c r="AA83" s="63">
        <f t="shared" si="62"/>
        <v>0</v>
      </c>
      <c r="AB83" s="63">
        <f t="shared" si="62"/>
        <v>0</v>
      </c>
      <c r="AC83" s="63">
        <f t="shared" si="62"/>
        <v>0</v>
      </c>
      <c r="AD83" s="63">
        <f t="shared" si="62"/>
        <v>0</v>
      </c>
      <c r="AE83" s="63">
        <f t="shared" si="62"/>
        <v>0</v>
      </c>
      <c r="AF83" s="63">
        <f t="shared" si="62"/>
        <v>0</v>
      </c>
      <c r="AG83" s="63">
        <f t="shared" si="62"/>
        <v>0</v>
      </c>
      <c r="AH83" s="63">
        <f t="shared" si="62"/>
        <v>0</v>
      </c>
      <c r="AI83" s="79">
        <f t="shared" si="62"/>
        <v>0</v>
      </c>
    </row>
    <row r="84" spans="1:160" s="80" customFormat="1">
      <c r="A84" s="95" t="str">
        <f>H74</f>
        <v>Anno 4</v>
      </c>
      <c r="B84" s="80" t="str">
        <f>$B76</f>
        <v>Opere edili</v>
      </c>
      <c r="C84" s="81">
        <f>$C$76</f>
        <v>0</v>
      </c>
      <c r="D84" s="52">
        <f>Ipotesi!F31</f>
        <v>0</v>
      </c>
      <c r="E84" s="85"/>
      <c r="F84" s="64"/>
      <c r="G84" s="64"/>
      <c r="H84" s="64">
        <f>IF($D84*$C84&gt;=$D85,$D85,$D84*$C84)</f>
        <v>0</v>
      </c>
      <c r="I84" s="64">
        <f t="shared" ref="I84:AI84" si="63">IF($D84*$C84&gt;=H85,H85,$D84*$C84)</f>
        <v>0</v>
      </c>
      <c r="J84" s="64">
        <f t="shared" si="63"/>
        <v>0</v>
      </c>
      <c r="K84" s="64">
        <f t="shared" si="63"/>
        <v>0</v>
      </c>
      <c r="L84" s="64">
        <f t="shared" si="63"/>
        <v>0</v>
      </c>
      <c r="M84" s="64">
        <f t="shared" si="63"/>
        <v>0</v>
      </c>
      <c r="N84" s="64">
        <f t="shared" si="63"/>
        <v>0</v>
      </c>
      <c r="O84" s="64">
        <f t="shared" si="63"/>
        <v>0</v>
      </c>
      <c r="P84" s="64">
        <f t="shared" si="63"/>
        <v>0</v>
      </c>
      <c r="Q84" s="64">
        <f t="shared" si="63"/>
        <v>0</v>
      </c>
      <c r="R84" s="64">
        <f t="shared" si="63"/>
        <v>0</v>
      </c>
      <c r="S84" s="64">
        <f t="shared" si="63"/>
        <v>0</v>
      </c>
      <c r="T84" s="64">
        <f t="shared" si="63"/>
        <v>0</v>
      </c>
      <c r="U84" s="64">
        <f t="shared" si="63"/>
        <v>0</v>
      </c>
      <c r="V84" s="64">
        <f t="shared" si="63"/>
        <v>0</v>
      </c>
      <c r="W84" s="64">
        <f t="shared" si="63"/>
        <v>0</v>
      </c>
      <c r="X84" s="64">
        <f t="shared" si="63"/>
        <v>0</v>
      </c>
      <c r="Y84" s="64">
        <f t="shared" si="63"/>
        <v>0</v>
      </c>
      <c r="Z84" s="64">
        <f t="shared" si="63"/>
        <v>0</v>
      </c>
      <c r="AA84" s="64">
        <f t="shared" si="63"/>
        <v>0</v>
      </c>
      <c r="AB84" s="64">
        <f t="shared" si="63"/>
        <v>0</v>
      </c>
      <c r="AC84" s="64">
        <f t="shared" si="63"/>
        <v>0</v>
      </c>
      <c r="AD84" s="64">
        <f t="shared" si="63"/>
        <v>0</v>
      </c>
      <c r="AE84" s="64">
        <f t="shared" si="63"/>
        <v>0</v>
      </c>
      <c r="AF84" s="64">
        <f t="shared" si="63"/>
        <v>0</v>
      </c>
      <c r="AG84" s="64">
        <f t="shared" si="63"/>
        <v>0</v>
      </c>
      <c r="AH84" s="64">
        <f t="shared" si="63"/>
        <v>0</v>
      </c>
      <c r="AI84" s="86">
        <f t="shared" si="63"/>
        <v>0</v>
      </c>
      <c r="FD84" s="59"/>
    </row>
    <row r="85" spans="1:160">
      <c r="A85" s="60" t="str">
        <f>H74</f>
        <v>Anno 4</v>
      </c>
      <c r="B85" s="59" t="s">
        <v>61</v>
      </c>
      <c r="C85" s="81"/>
      <c r="D85" s="52">
        <f>D84</f>
        <v>0</v>
      </c>
      <c r="E85" s="78"/>
      <c r="H85" s="63">
        <f>$D85-H84</f>
        <v>0</v>
      </c>
      <c r="I85" s="63">
        <f t="shared" ref="I85:AI85" si="64">IF(H85-I84&gt;0,H85-I84,0)</f>
        <v>0</v>
      </c>
      <c r="J85" s="63">
        <f t="shared" si="64"/>
        <v>0</v>
      </c>
      <c r="K85" s="63">
        <f t="shared" si="64"/>
        <v>0</v>
      </c>
      <c r="L85" s="63">
        <f t="shared" si="64"/>
        <v>0</v>
      </c>
      <c r="M85" s="63">
        <f t="shared" si="64"/>
        <v>0</v>
      </c>
      <c r="N85" s="63">
        <f t="shared" si="64"/>
        <v>0</v>
      </c>
      <c r="O85" s="63">
        <f t="shared" si="64"/>
        <v>0</v>
      </c>
      <c r="P85" s="63">
        <f t="shared" si="64"/>
        <v>0</v>
      </c>
      <c r="Q85" s="63">
        <f t="shared" si="64"/>
        <v>0</v>
      </c>
      <c r="R85" s="63">
        <f t="shared" si="64"/>
        <v>0</v>
      </c>
      <c r="S85" s="63">
        <f t="shared" si="64"/>
        <v>0</v>
      </c>
      <c r="T85" s="63">
        <f t="shared" si="64"/>
        <v>0</v>
      </c>
      <c r="U85" s="63">
        <f t="shared" si="64"/>
        <v>0</v>
      </c>
      <c r="V85" s="63">
        <f t="shared" si="64"/>
        <v>0</v>
      </c>
      <c r="W85" s="63">
        <f t="shared" si="64"/>
        <v>0</v>
      </c>
      <c r="X85" s="63">
        <f t="shared" si="64"/>
        <v>0</v>
      </c>
      <c r="Y85" s="63">
        <f t="shared" si="64"/>
        <v>0</v>
      </c>
      <c r="Z85" s="63">
        <f t="shared" si="64"/>
        <v>0</v>
      </c>
      <c r="AA85" s="63">
        <f t="shared" si="64"/>
        <v>0</v>
      </c>
      <c r="AB85" s="63">
        <f t="shared" si="64"/>
        <v>0</v>
      </c>
      <c r="AC85" s="63">
        <f t="shared" si="64"/>
        <v>0</v>
      </c>
      <c r="AD85" s="63">
        <f t="shared" si="64"/>
        <v>0</v>
      </c>
      <c r="AE85" s="63">
        <f t="shared" si="64"/>
        <v>0</v>
      </c>
      <c r="AF85" s="63">
        <f t="shared" si="64"/>
        <v>0</v>
      </c>
      <c r="AG85" s="63">
        <f t="shared" si="64"/>
        <v>0</v>
      </c>
      <c r="AH85" s="63">
        <f t="shared" si="64"/>
        <v>0</v>
      </c>
      <c r="AI85" s="79">
        <f t="shared" si="64"/>
        <v>0</v>
      </c>
    </row>
    <row r="86" spans="1:160" s="80" customFormat="1">
      <c r="A86" s="95" t="str">
        <f>I74</f>
        <v>Anno 5</v>
      </c>
      <c r="B86" s="80" t="str">
        <f>$B76</f>
        <v>Opere edili</v>
      </c>
      <c r="C86" s="81">
        <f>$C$76</f>
        <v>0</v>
      </c>
      <c r="D86" s="52"/>
      <c r="E86" s="85"/>
      <c r="F86" s="64"/>
      <c r="G86" s="64"/>
      <c r="H86" s="64"/>
      <c r="I86" s="64">
        <f>IF($D86*$C86&gt;=$D87,$D87,$D86*$C86)</f>
        <v>0</v>
      </c>
      <c r="J86" s="64">
        <f t="shared" ref="J86:AI86" si="65">IF($D86*$C86&gt;=I87,I87,$D86*$C86)</f>
        <v>0</v>
      </c>
      <c r="K86" s="64">
        <f t="shared" si="65"/>
        <v>0</v>
      </c>
      <c r="L86" s="64">
        <f t="shared" si="65"/>
        <v>0</v>
      </c>
      <c r="M86" s="64">
        <f t="shared" si="65"/>
        <v>0</v>
      </c>
      <c r="N86" s="64">
        <f t="shared" si="65"/>
        <v>0</v>
      </c>
      <c r="O86" s="64">
        <f t="shared" si="65"/>
        <v>0</v>
      </c>
      <c r="P86" s="64">
        <f t="shared" si="65"/>
        <v>0</v>
      </c>
      <c r="Q86" s="64">
        <f t="shared" si="65"/>
        <v>0</v>
      </c>
      <c r="R86" s="64">
        <f t="shared" si="65"/>
        <v>0</v>
      </c>
      <c r="S86" s="64">
        <f t="shared" si="65"/>
        <v>0</v>
      </c>
      <c r="T86" s="64">
        <f t="shared" si="65"/>
        <v>0</v>
      </c>
      <c r="U86" s="64">
        <f t="shared" si="65"/>
        <v>0</v>
      </c>
      <c r="V86" s="64">
        <f t="shared" si="65"/>
        <v>0</v>
      </c>
      <c r="W86" s="64">
        <f t="shared" si="65"/>
        <v>0</v>
      </c>
      <c r="X86" s="64">
        <f t="shared" si="65"/>
        <v>0</v>
      </c>
      <c r="Y86" s="64">
        <f t="shared" si="65"/>
        <v>0</v>
      </c>
      <c r="Z86" s="64">
        <f t="shared" si="65"/>
        <v>0</v>
      </c>
      <c r="AA86" s="64">
        <f t="shared" si="65"/>
        <v>0</v>
      </c>
      <c r="AB86" s="64">
        <f t="shared" si="65"/>
        <v>0</v>
      </c>
      <c r="AC86" s="64">
        <f t="shared" si="65"/>
        <v>0</v>
      </c>
      <c r="AD86" s="64">
        <f t="shared" si="65"/>
        <v>0</v>
      </c>
      <c r="AE86" s="64">
        <f t="shared" si="65"/>
        <v>0</v>
      </c>
      <c r="AF86" s="64">
        <f t="shared" si="65"/>
        <v>0</v>
      </c>
      <c r="AG86" s="64">
        <f t="shared" si="65"/>
        <v>0</v>
      </c>
      <c r="AH86" s="64">
        <f t="shared" si="65"/>
        <v>0</v>
      </c>
      <c r="AI86" s="86">
        <f t="shared" si="65"/>
        <v>0</v>
      </c>
      <c r="FD86" s="59"/>
    </row>
    <row r="87" spans="1:160">
      <c r="A87" s="60" t="str">
        <f>I74</f>
        <v>Anno 5</v>
      </c>
      <c r="B87" s="59" t="s">
        <v>61</v>
      </c>
      <c r="C87" s="81"/>
      <c r="D87" s="52">
        <f>D86</f>
        <v>0</v>
      </c>
      <c r="E87" s="78"/>
      <c r="I87" s="63">
        <f>$D87-I86</f>
        <v>0</v>
      </c>
      <c r="J87" s="63">
        <f t="shared" ref="J87:AI87" si="66">IF(I87-J86&gt;0,I87-J86,0)</f>
        <v>0</v>
      </c>
      <c r="K87" s="63">
        <f t="shared" si="66"/>
        <v>0</v>
      </c>
      <c r="L87" s="63">
        <f t="shared" si="66"/>
        <v>0</v>
      </c>
      <c r="M87" s="63">
        <f t="shared" si="66"/>
        <v>0</v>
      </c>
      <c r="N87" s="63">
        <f t="shared" si="66"/>
        <v>0</v>
      </c>
      <c r="O87" s="63">
        <f t="shared" si="66"/>
        <v>0</v>
      </c>
      <c r="P87" s="63">
        <f t="shared" si="66"/>
        <v>0</v>
      </c>
      <c r="Q87" s="63">
        <f t="shared" si="66"/>
        <v>0</v>
      </c>
      <c r="R87" s="63">
        <f t="shared" si="66"/>
        <v>0</v>
      </c>
      <c r="S87" s="63">
        <f t="shared" si="66"/>
        <v>0</v>
      </c>
      <c r="T87" s="63">
        <f t="shared" si="66"/>
        <v>0</v>
      </c>
      <c r="U87" s="63">
        <f t="shared" si="66"/>
        <v>0</v>
      </c>
      <c r="V87" s="63">
        <f t="shared" si="66"/>
        <v>0</v>
      </c>
      <c r="W87" s="63">
        <f t="shared" si="66"/>
        <v>0</v>
      </c>
      <c r="X87" s="63">
        <f t="shared" si="66"/>
        <v>0</v>
      </c>
      <c r="Y87" s="63">
        <f t="shared" si="66"/>
        <v>0</v>
      </c>
      <c r="Z87" s="63">
        <f t="shared" si="66"/>
        <v>0</v>
      </c>
      <c r="AA87" s="63">
        <f t="shared" si="66"/>
        <v>0</v>
      </c>
      <c r="AB87" s="63">
        <f t="shared" si="66"/>
        <v>0</v>
      </c>
      <c r="AC87" s="63">
        <f t="shared" si="66"/>
        <v>0</v>
      </c>
      <c r="AD87" s="63">
        <f t="shared" si="66"/>
        <v>0</v>
      </c>
      <c r="AE87" s="63">
        <f t="shared" si="66"/>
        <v>0</v>
      </c>
      <c r="AF87" s="63">
        <f t="shared" si="66"/>
        <v>0</v>
      </c>
      <c r="AG87" s="63">
        <f t="shared" si="66"/>
        <v>0</v>
      </c>
      <c r="AH87" s="63">
        <f t="shared" si="66"/>
        <v>0</v>
      </c>
      <c r="AI87" s="79">
        <f t="shared" si="66"/>
        <v>0</v>
      </c>
    </row>
    <row r="88" spans="1:160" s="80" customFormat="1">
      <c r="A88" s="95" t="str">
        <f>J74</f>
        <v>Anno 6</v>
      </c>
      <c r="B88" s="80" t="str">
        <f>$B76</f>
        <v>Opere edili</v>
      </c>
      <c r="C88" s="81">
        <f>$C$76</f>
        <v>0</v>
      </c>
      <c r="D88" s="52"/>
      <c r="E88" s="85"/>
      <c r="F88" s="64"/>
      <c r="G88" s="64"/>
      <c r="H88" s="64"/>
      <c r="I88" s="64"/>
      <c r="J88" s="64">
        <f>IF($D88*$C88&gt;=$D89,$D89,$D88*$C88)</f>
        <v>0</v>
      </c>
      <c r="K88" s="64">
        <f t="shared" ref="K88:AI88" si="67">IF($D88*$C88&gt;=J89,J89,$D88*$C88)</f>
        <v>0</v>
      </c>
      <c r="L88" s="64">
        <f t="shared" si="67"/>
        <v>0</v>
      </c>
      <c r="M88" s="64">
        <f t="shared" si="67"/>
        <v>0</v>
      </c>
      <c r="N88" s="64">
        <f t="shared" si="67"/>
        <v>0</v>
      </c>
      <c r="O88" s="64">
        <f t="shared" si="67"/>
        <v>0</v>
      </c>
      <c r="P88" s="64">
        <f t="shared" si="67"/>
        <v>0</v>
      </c>
      <c r="Q88" s="64">
        <f t="shared" si="67"/>
        <v>0</v>
      </c>
      <c r="R88" s="64">
        <f t="shared" si="67"/>
        <v>0</v>
      </c>
      <c r="S88" s="64">
        <f t="shared" si="67"/>
        <v>0</v>
      </c>
      <c r="T88" s="64">
        <f t="shared" si="67"/>
        <v>0</v>
      </c>
      <c r="U88" s="64">
        <f t="shared" si="67"/>
        <v>0</v>
      </c>
      <c r="V88" s="64">
        <f t="shared" si="67"/>
        <v>0</v>
      </c>
      <c r="W88" s="64">
        <f t="shared" si="67"/>
        <v>0</v>
      </c>
      <c r="X88" s="64">
        <f t="shared" si="67"/>
        <v>0</v>
      </c>
      <c r="Y88" s="64">
        <f t="shared" si="67"/>
        <v>0</v>
      </c>
      <c r="Z88" s="64">
        <f t="shared" si="67"/>
        <v>0</v>
      </c>
      <c r="AA88" s="64">
        <f t="shared" si="67"/>
        <v>0</v>
      </c>
      <c r="AB88" s="64">
        <f t="shared" si="67"/>
        <v>0</v>
      </c>
      <c r="AC88" s="64">
        <f t="shared" si="67"/>
        <v>0</v>
      </c>
      <c r="AD88" s="64">
        <f t="shared" si="67"/>
        <v>0</v>
      </c>
      <c r="AE88" s="64">
        <f t="shared" si="67"/>
        <v>0</v>
      </c>
      <c r="AF88" s="64">
        <f t="shared" si="67"/>
        <v>0</v>
      </c>
      <c r="AG88" s="64">
        <f t="shared" si="67"/>
        <v>0</v>
      </c>
      <c r="AH88" s="64">
        <f t="shared" si="67"/>
        <v>0</v>
      </c>
      <c r="AI88" s="86">
        <f t="shared" si="67"/>
        <v>0</v>
      </c>
      <c r="FD88" s="59"/>
    </row>
    <row r="89" spans="1:160">
      <c r="A89" s="60" t="str">
        <f>J74</f>
        <v>Anno 6</v>
      </c>
      <c r="B89" s="59" t="s">
        <v>61</v>
      </c>
      <c r="C89" s="81"/>
      <c r="D89" s="52">
        <f>D88</f>
        <v>0</v>
      </c>
      <c r="E89" s="78"/>
      <c r="J89" s="63">
        <f>$D89-J88</f>
        <v>0</v>
      </c>
      <c r="K89" s="63">
        <f t="shared" ref="K89:AI89" si="68">IF(J89-K88&gt;0,J89-K88,0)</f>
        <v>0</v>
      </c>
      <c r="L89" s="63">
        <f t="shared" si="68"/>
        <v>0</v>
      </c>
      <c r="M89" s="63">
        <f t="shared" si="68"/>
        <v>0</v>
      </c>
      <c r="N89" s="63">
        <f t="shared" si="68"/>
        <v>0</v>
      </c>
      <c r="O89" s="63">
        <f t="shared" si="68"/>
        <v>0</v>
      </c>
      <c r="P89" s="63">
        <f t="shared" si="68"/>
        <v>0</v>
      </c>
      <c r="Q89" s="63">
        <f t="shared" si="68"/>
        <v>0</v>
      </c>
      <c r="R89" s="63">
        <f t="shared" si="68"/>
        <v>0</v>
      </c>
      <c r="S89" s="63">
        <f t="shared" si="68"/>
        <v>0</v>
      </c>
      <c r="T89" s="63">
        <f t="shared" si="68"/>
        <v>0</v>
      </c>
      <c r="U89" s="63">
        <f t="shared" si="68"/>
        <v>0</v>
      </c>
      <c r="V89" s="63">
        <f t="shared" si="68"/>
        <v>0</v>
      </c>
      <c r="W89" s="63">
        <f t="shared" si="68"/>
        <v>0</v>
      </c>
      <c r="X89" s="63">
        <f t="shared" si="68"/>
        <v>0</v>
      </c>
      <c r="Y89" s="63">
        <f t="shared" si="68"/>
        <v>0</v>
      </c>
      <c r="Z89" s="63">
        <f t="shared" si="68"/>
        <v>0</v>
      </c>
      <c r="AA89" s="63">
        <f t="shared" si="68"/>
        <v>0</v>
      </c>
      <c r="AB89" s="63">
        <f t="shared" si="68"/>
        <v>0</v>
      </c>
      <c r="AC89" s="63">
        <f t="shared" si="68"/>
        <v>0</v>
      </c>
      <c r="AD89" s="63">
        <f t="shared" si="68"/>
        <v>0</v>
      </c>
      <c r="AE89" s="63">
        <f t="shared" si="68"/>
        <v>0</v>
      </c>
      <c r="AF89" s="63">
        <f t="shared" si="68"/>
        <v>0</v>
      </c>
      <c r="AG89" s="63">
        <f t="shared" si="68"/>
        <v>0</v>
      </c>
      <c r="AH89" s="63">
        <f t="shared" si="68"/>
        <v>0</v>
      </c>
      <c r="AI89" s="79">
        <f t="shared" si="68"/>
        <v>0</v>
      </c>
    </row>
    <row r="90" spans="1:160" s="80" customFormat="1">
      <c r="A90" s="95" t="str">
        <f>K74</f>
        <v>Anno 7</v>
      </c>
      <c r="B90" s="80" t="str">
        <f>$B76</f>
        <v>Opere edili</v>
      </c>
      <c r="C90" s="81">
        <f>$C$76</f>
        <v>0</v>
      </c>
      <c r="D90" s="52"/>
      <c r="E90" s="85"/>
      <c r="F90" s="64"/>
      <c r="G90" s="64"/>
      <c r="H90" s="64"/>
      <c r="I90" s="64"/>
      <c r="J90" s="87"/>
      <c r="K90" s="64">
        <f>IF($D90*$C90&gt;=$D91,$D91,$D90*$C90)</f>
        <v>0</v>
      </c>
      <c r="L90" s="64">
        <f t="shared" ref="L90:AI90" si="69">IF($D90*$C90&gt;=K91,K91,$D90*$C90)</f>
        <v>0</v>
      </c>
      <c r="M90" s="64">
        <f t="shared" si="69"/>
        <v>0</v>
      </c>
      <c r="N90" s="64">
        <f t="shared" si="69"/>
        <v>0</v>
      </c>
      <c r="O90" s="64">
        <f t="shared" si="69"/>
        <v>0</v>
      </c>
      <c r="P90" s="64">
        <f t="shared" si="69"/>
        <v>0</v>
      </c>
      <c r="Q90" s="64">
        <f t="shared" si="69"/>
        <v>0</v>
      </c>
      <c r="R90" s="64">
        <f t="shared" si="69"/>
        <v>0</v>
      </c>
      <c r="S90" s="64">
        <f t="shared" si="69"/>
        <v>0</v>
      </c>
      <c r="T90" s="64">
        <f t="shared" si="69"/>
        <v>0</v>
      </c>
      <c r="U90" s="64">
        <f t="shared" si="69"/>
        <v>0</v>
      </c>
      <c r="V90" s="64">
        <f t="shared" si="69"/>
        <v>0</v>
      </c>
      <c r="W90" s="64">
        <f t="shared" si="69"/>
        <v>0</v>
      </c>
      <c r="X90" s="64">
        <f t="shared" si="69"/>
        <v>0</v>
      </c>
      <c r="Y90" s="64">
        <f t="shared" si="69"/>
        <v>0</v>
      </c>
      <c r="Z90" s="64">
        <f t="shared" si="69"/>
        <v>0</v>
      </c>
      <c r="AA90" s="64">
        <f t="shared" si="69"/>
        <v>0</v>
      </c>
      <c r="AB90" s="64">
        <f t="shared" si="69"/>
        <v>0</v>
      </c>
      <c r="AC90" s="64">
        <f t="shared" si="69"/>
        <v>0</v>
      </c>
      <c r="AD90" s="64">
        <f t="shared" si="69"/>
        <v>0</v>
      </c>
      <c r="AE90" s="64">
        <f t="shared" si="69"/>
        <v>0</v>
      </c>
      <c r="AF90" s="64">
        <f t="shared" si="69"/>
        <v>0</v>
      </c>
      <c r="AG90" s="64">
        <f t="shared" si="69"/>
        <v>0</v>
      </c>
      <c r="AH90" s="64">
        <f t="shared" si="69"/>
        <v>0</v>
      </c>
      <c r="AI90" s="86">
        <f t="shared" si="69"/>
        <v>0</v>
      </c>
      <c r="FD90" s="59"/>
    </row>
    <row r="91" spans="1:160">
      <c r="A91" s="60" t="str">
        <f>K74</f>
        <v>Anno 7</v>
      </c>
      <c r="B91" s="59" t="s">
        <v>61</v>
      </c>
      <c r="C91" s="81"/>
      <c r="D91" s="52">
        <f>D90</f>
        <v>0</v>
      </c>
      <c r="E91" s="78"/>
      <c r="K91" s="63">
        <f>$D91-K90</f>
        <v>0</v>
      </c>
      <c r="L91" s="63">
        <f t="shared" ref="L91:AI91" si="70">IF(K91-L90&gt;0,K91-L90,0)</f>
        <v>0</v>
      </c>
      <c r="M91" s="63">
        <f t="shared" si="70"/>
        <v>0</v>
      </c>
      <c r="N91" s="63">
        <f t="shared" si="70"/>
        <v>0</v>
      </c>
      <c r="O91" s="63">
        <f t="shared" si="70"/>
        <v>0</v>
      </c>
      <c r="P91" s="63">
        <f t="shared" si="70"/>
        <v>0</v>
      </c>
      <c r="Q91" s="63">
        <f t="shared" si="70"/>
        <v>0</v>
      </c>
      <c r="R91" s="63">
        <f t="shared" si="70"/>
        <v>0</v>
      </c>
      <c r="S91" s="63">
        <f t="shared" si="70"/>
        <v>0</v>
      </c>
      <c r="T91" s="63">
        <f t="shared" si="70"/>
        <v>0</v>
      </c>
      <c r="U91" s="63">
        <f t="shared" si="70"/>
        <v>0</v>
      </c>
      <c r="V91" s="63">
        <f t="shared" si="70"/>
        <v>0</v>
      </c>
      <c r="W91" s="63">
        <f t="shared" si="70"/>
        <v>0</v>
      </c>
      <c r="X91" s="63">
        <f t="shared" si="70"/>
        <v>0</v>
      </c>
      <c r="Y91" s="63">
        <f t="shared" si="70"/>
        <v>0</v>
      </c>
      <c r="Z91" s="63">
        <f t="shared" si="70"/>
        <v>0</v>
      </c>
      <c r="AA91" s="63">
        <f t="shared" si="70"/>
        <v>0</v>
      </c>
      <c r="AB91" s="63">
        <f t="shared" si="70"/>
        <v>0</v>
      </c>
      <c r="AC91" s="63">
        <f t="shared" si="70"/>
        <v>0</v>
      </c>
      <c r="AD91" s="63">
        <f t="shared" si="70"/>
        <v>0</v>
      </c>
      <c r="AE91" s="63">
        <f t="shared" si="70"/>
        <v>0</v>
      </c>
      <c r="AF91" s="63">
        <f t="shared" si="70"/>
        <v>0</v>
      </c>
      <c r="AG91" s="63">
        <f t="shared" si="70"/>
        <v>0</v>
      </c>
      <c r="AH91" s="63">
        <f t="shared" si="70"/>
        <v>0</v>
      </c>
      <c r="AI91" s="79">
        <f t="shared" si="70"/>
        <v>0</v>
      </c>
    </row>
    <row r="92" spans="1:160" s="80" customFormat="1">
      <c r="A92" s="95" t="str">
        <f>L74</f>
        <v>Anno 8</v>
      </c>
      <c r="B92" s="80" t="str">
        <f>$B76</f>
        <v>Opere edili</v>
      </c>
      <c r="C92" s="81">
        <f>$C$76</f>
        <v>0</v>
      </c>
      <c r="D92" s="52"/>
      <c r="E92" s="85"/>
      <c r="F92" s="64"/>
      <c r="G92" s="64"/>
      <c r="H92" s="64"/>
      <c r="I92" s="64"/>
      <c r="J92" s="87"/>
      <c r="K92" s="87"/>
      <c r="L92" s="64">
        <f>IF($D92*$C92&gt;=$D93,$D93,$D92*$C92)</f>
        <v>0</v>
      </c>
      <c r="M92" s="64">
        <f t="shared" ref="M92:AI92" si="71">IF($D92*$C92&gt;=L93,L93,$D92*$C92)</f>
        <v>0</v>
      </c>
      <c r="N92" s="64">
        <f t="shared" si="71"/>
        <v>0</v>
      </c>
      <c r="O92" s="64">
        <f t="shared" si="71"/>
        <v>0</v>
      </c>
      <c r="P92" s="64">
        <f t="shared" si="71"/>
        <v>0</v>
      </c>
      <c r="Q92" s="64">
        <f t="shared" si="71"/>
        <v>0</v>
      </c>
      <c r="R92" s="64">
        <f t="shared" si="71"/>
        <v>0</v>
      </c>
      <c r="S92" s="64">
        <f t="shared" si="71"/>
        <v>0</v>
      </c>
      <c r="T92" s="64">
        <f t="shared" si="71"/>
        <v>0</v>
      </c>
      <c r="U92" s="64">
        <f t="shared" si="71"/>
        <v>0</v>
      </c>
      <c r="V92" s="64">
        <f t="shared" si="71"/>
        <v>0</v>
      </c>
      <c r="W92" s="64">
        <f t="shared" si="71"/>
        <v>0</v>
      </c>
      <c r="X92" s="64">
        <f t="shared" si="71"/>
        <v>0</v>
      </c>
      <c r="Y92" s="64">
        <f t="shared" si="71"/>
        <v>0</v>
      </c>
      <c r="Z92" s="64">
        <f t="shared" si="71"/>
        <v>0</v>
      </c>
      <c r="AA92" s="64">
        <f t="shared" si="71"/>
        <v>0</v>
      </c>
      <c r="AB92" s="64">
        <f t="shared" si="71"/>
        <v>0</v>
      </c>
      <c r="AC92" s="64">
        <f t="shared" si="71"/>
        <v>0</v>
      </c>
      <c r="AD92" s="64">
        <f t="shared" si="71"/>
        <v>0</v>
      </c>
      <c r="AE92" s="64">
        <f t="shared" si="71"/>
        <v>0</v>
      </c>
      <c r="AF92" s="64">
        <f t="shared" si="71"/>
        <v>0</v>
      </c>
      <c r="AG92" s="64">
        <f t="shared" si="71"/>
        <v>0</v>
      </c>
      <c r="AH92" s="64">
        <f t="shared" si="71"/>
        <v>0</v>
      </c>
      <c r="AI92" s="86">
        <f t="shared" si="71"/>
        <v>0</v>
      </c>
      <c r="FD92" s="59"/>
    </row>
    <row r="93" spans="1:160">
      <c r="A93" s="60" t="str">
        <f>L74</f>
        <v>Anno 8</v>
      </c>
      <c r="B93" s="59" t="s">
        <v>61</v>
      </c>
      <c r="C93" s="81"/>
      <c r="D93" s="52">
        <f>D92</f>
        <v>0</v>
      </c>
      <c r="E93" s="78"/>
      <c r="L93" s="63">
        <f>$D93-L92</f>
        <v>0</v>
      </c>
      <c r="M93" s="63">
        <f t="shared" ref="M93:AI93" si="72">IF(L93-M92&gt;0,L93-M92,0)</f>
        <v>0</v>
      </c>
      <c r="N93" s="63">
        <f t="shared" si="72"/>
        <v>0</v>
      </c>
      <c r="O93" s="63">
        <f t="shared" si="72"/>
        <v>0</v>
      </c>
      <c r="P93" s="63">
        <f t="shared" si="72"/>
        <v>0</v>
      </c>
      <c r="Q93" s="63">
        <f t="shared" si="72"/>
        <v>0</v>
      </c>
      <c r="R93" s="63">
        <f t="shared" si="72"/>
        <v>0</v>
      </c>
      <c r="S93" s="63">
        <f t="shared" si="72"/>
        <v>0</v>
      </c>
      <c r="T93" s="63">
        <f t="shared" si="72"/>
        <v>0</v>
      </c>
      <c r="U93" s="63">
        <f t="shared" si="72"/>
        <v>0</v>
      </c>
      <c r="V93" s="63">
        <f t="shared" si="72"/>
        <v>0</v>
      </c>
      <c r="W93" s="63">
        <f t="shared" si="72"/>
        <v>0</v>
      </c>
      <c r="X93" s="63">
        <f t="shared" si="72"/>
        <v>0</v>
      </c>
      <c r="Y93" s="63">
        <f t="shared" si="72"/>
        <v>0</v>
      </c>
      <c r="Z93" s="63">
        <f t="shared" si="72"/>
        <v>0</v>
      </c>
      <c r="AA93" s="63">
        <f t="shared" si="72"/>
        <v>0</v>
      </c>
      <c r="AB93" s="63">
        <f t="shared" si="72"/>
        <v>0</v>
      </c>
      <c r="AC93" s="63">
        <f t="shared" si="72"/>
        <v>0</v>
      </c>
      <c r="AD93" s="63">
        <f t="shared" si="72"/>
        <v>0</v>
      </c>
      <c r="AE93" s="63">
        <f t="shared" si="72"/>
        <v>0</v>
      </c>
      <c r="AF93" s="63">
        <f t="shared" si="72"/>
        <v>0</v>
      </c>
      <c r="AG93" s="63">
        <f t="shared" si="72"/>
        <v>0</v>
      </c>
      <c r="AH93" s="63">
        <f t="shared" si="72"/>
        <v>0</v>
      </c>
      <c r="AI93" s="79">
        <f t="shared" si="72"/>
        <v>0</v>
      </c>
    </row>
    <row r="94" spans="1:160" s="80" customFormat="1">
      <c r="A94" s="95" t="str">
        <f>M74</f>
        <v>Anno 9</v>
      </c>
      <c r="B94" s="80" t="str">
        <f>$B76</f>
        <v>Opere edili</v>
      </c>
      <c r="C94" s="81">
        <f>$C$76</f>
        <v>0</v>
      </c>
      <c r="D94" s="52"/>
      <c r="E94" s="85"/>
      <c r="F94" s="64"/>
      <c r="G94" s="64"/>
      <c r="H94" s="64"/>
      <c r="I94" s="64"/>
      <c r="J94" s="87"/>
      <c r="K94" s="87"/>
      <c r="L94" s="87"/>
      <c r="M94" s="64">
        <f>IF($D94*$C94&gt;=$D95,$D95,$D94*$C94)</f>
        <v>0</v>
      </c>
      <c r="N94" s="64">
        <f t="shared" ref="N94:AI94" si="73">IF($D94*$C94&gt;=M95,M95,$D94*$C94)</f>
        <v>0</v>
      </c>
      <c r="O94" s="64">
        <f t="shared" si="73"/>
        <v>0</v>
      </c>
      <c r="P94" s="64">
        <f t="shared" si="73"/>
        <v>0</v>
      </c>
      <c r="Q94" s="64">
        <f t="shared" si="73"/>
        <v>0</v>
      </c>
      <c r="R94" s="64">
        <f t="shared" si="73"/>
        <v>0</v>
      </c>
      <c r="S94" s="64">
        <f t="shared" si="73"/>
        <v>0</v>
      </c>
      <c r="T94" s="64">
        <f t="shared" si="73"/>
        <v>0</v>
      </c>
      <c r="U94" s="64">
        <f t="shared" si="73"/>
        <v>0</v>
      </c>
      <c r="V94" s="64">
        <f t="shared" si="73"/>
        <v>0</v>
      </c>
      <c r="W94" s="64">
        <f t="shared" si="73"/>
        <v>0</v>
      </c>
      <c r="X94" s="64">
        <f t="shared" si="73"/>
        <v>0</v>
      </c>
      <c r="Y94" s="64">
        <f t="shared" si="73"/>
        <v>0</v>
      </c>
      <c r="Z94" s="64">
        <f t="shared" si="73"/>
        <v>0</v>
      </c>
      <c r="AA94" s="64">
        <f t="shared" si="73"/>
        <v>0</v>
      </c>
      <c r="AB94" s="64">
        <f t="shared" si="73"/>
        <v>0</v>
      </c>
      <c r="AC94" s="64">
        <f t="shared" si="73"/>
        <v>0</v>
      </c>
      <c r="AD94" s="64">
        <f t="shared" si="73"/>
        <v>0</v>
      </c>
      <c r="AE94" s="64">
        <f t="shared" si="73"/>
        <v>0</v>
      </c>
      <c r="AF94" s="64">
        <f t="shared" si="73"/>
        <v>0</v>
      </c>
      <c r="AG94" s="64">
        <f t="shared" si="73"/>
        <v>0</v>
      </c>
      <c r="AH94" s="64">
        <f t="shared" si="73"/>
        <v>0</v>
      </c>
      <c r="AI94" s="86">
        <f t="shared" si="73"/>
        <v>0</v>
      </c>
      <c r="FD94" s="59"/>
    </row>
    <row r="95" spans="1:160">
      <c r="A95" s="60" t="str">
        <f>M74</f>
        <v>Anno 9</v>
      </c>
      <c r="B95" s="59" t="s">
        <v>61</v>
      </c>
      <c r="C95" s="81"/>
      <c r="D95" s="52">
        <f>D94</f>
        <v>0</v>
      </c>
      <c r="E95" s="78"/>
      <c r="M95" s="63">
        <f>$D95-M94</f>
        <v>0</v>
      </c>
      <c r="N95" s="63">
        <f t="shared" ref="N95:AI95" si="74">IF(M95-N94&gt;0,M95-N94,0)</f>
        <v>0</v>
      </c>
      <c r="O95" s="63">
        <f t="shared" si="74"/>
        <v>0</v>
      </c>
      <c r="P95" s="63">
        <f t="shared" si="74"/>
        <v>0</v>
      </c>
      <c r="Q95" s="63">
        <f t="shared" si="74"/>
        <v>0</v>
      </c>
      <c r="R95" s="63">
        <f t="shared" si="74"/>
        <v>0</v>
      </c>
      <c r="S95" s="63">
        <f t="shared" si="74"/>
        <v>0</v>
      </c>
      <c r="T95" s="63">
        <f t="shared" si="74"/>
        <v>0</v>
      </c>
      <c r="U95" s="63">
        <f t="shared" si="74"/>
        <v>0</v>
      </c>
      <c r="V95" s="63">
        <f t="shared" si="74"/>
        <v>0</v>
      </c>
      <c r="W95" s="63">
        <f t="shared" si="74"/>
        <v>0</v>
      </c>
      <c r="X95" s="63">
        <f t="shared" si="74"/>
        <v>0</v>
      </c>
      <c r="Y95" s="63">
        <f t="shared" si="74"/>
        <v>0</v>
      </c>
      <c r="Z95" s="63">
        <f t="shared" si="74"/>
        <v>0</v>
      </c>
      <c r="AA95" s="63">
        <f t="shared" si="74"/>
        <v>0</v>
      </c>
      <c r="AB95" s="63">
        <f t="shared" si="74"/>
        <v>0</v>
      </c>
      <c r="AC95" s="63">
        <f t="shared" si="74"/>
        <v>0</v>
      </c>
      <c r="AD95" s="63">
        <f t="shared" si="74"/>
        <v>0</v>
      </c>
      <c r="AE95" s="63">
        <f t="shared" si="74"/>
        <v>0</v>
      </c>
      <c r="AF95" s="63">
        <f t="shared" si="74"/>
        <v>0</v>
      </c>
      <c r="AG95" s="63">
        <f t="shared" si="74"/>
        <v>0</v>
      </c>
      <c r="AH95" s="63">
        <f t="shared" si="74"/>
        <v>0</v>
      </c>
      <c r="AI95" s="79">
        <f t="shared" si="74"/>
        <v>0</v>
      </c>
    </row>
    <row r="96" spans="1:160" s="80" customFormat="1">
      <c r="A96" s="95" t="str">
        <f>N74</f>
        <v>Anno 10</v>
      </c>
      <c r="B96" s="80" t="str">
        <f>$B76</f>
        <v>Opere edili</v>
      </c>
      <c r="C96" s="81">
        <f>$C$76</f>
        <v>0</v>
      </c>
      <c r="D96" s="52"/>
      <c r="E96" s="85"/>
      <c r="F96" s="64"/>
      <c r="G96" s="64"/>
      <c r="H96" s="64"/>
      <c r="I96" s="64"/>
      <c r="J96" s="87"/>
      <c r="K96" s="87"/>
      <c r="L96" s="87"/>
      <c r="M96" s="87"/>
      <c r="N96" s="64">
        <f>IF($D96*$C96&gt;=$D97,$D97,$D96*$C96)</f>
        <v>0</v>
      </c>
      <c r="O96" s="64">
        <f t="shared" ref="O96:AI96" si="75">IF($D96*$C96&gt;=N97,N97,$D96*$C96)</f>
        <v>0</v>
      </c>
      <c r="P96" s="64">
        <f t="shared" si="75"/>
        <v>0</v>
      </c>
      <c r="Q96" s="64">
        <f t="shared" si="75"/>
        <v>0</v>
      </c>
      <c r="R96" s="64">
        <f t="shared" si="75"/>
        <v>0</v>
      </c>
      <c r="S96" s="64">
        <f t="shared" si="75"/>
        <v>0</v>
      </c>
      <c r="T96" s="64">
        <f t="shared" si="75"/>
        <v>0</v>
      </c>
      <c r="U96" s="64">
        <f t="shared" si="75"/>
        <v>0</v>
      </c>
      <c r="V96" s="64">
        <f t="shared" si="75"/>
        <v>0</v>
      </c>
      <c r="W96" s="64">
        <f t="shared" si="75"/>
        <v>0</v>
      </c>
      <c r="X96" s="64">
        <f t="shared" si="75"/>
        <v>0</v>
      </c>
      <c r="Y96" s="64">
        <f t="shared" si="75"/>
        <v>0</v>
      </c>
      <c r="Z96" s="64">
        <f t="shared" si="75"/>
        <v>0</v>
      </c>
      <c r="AA96" s="64">
        <f t="shared" si="75"/>
        <v>0</v>
      </c>
      <c r="AB96" s="64">
        <f t="shared" si="75"/>
        <v>0</v>
      </c>
      <c r="AC96" s="64">
        <f t="shared" si="75"/>
        <v>0</v>
      </c>
      <c r="AD96" s="64">
        <f t="shared" si="75"/>
        <v>0</v>
      </c>
      <c r="AE96" s="64">
        <f t="shared" si="75"/>
        <v>0</v>
      </c>
      <c r="AF96" s="64">
        <f t="shared" si="75"/>
        <v>0</v>
      </c>
      <c r="AG96" s="64">
        <f t="shared" si="75"/>
        <v>0</v>
      </c>
      <c r="AH96" s="64">
        <f t="shared" si="75"/>
        <v>0</v>
      </c>
      <c r="AI96" s="86">
        <f t="shared" si="75"/>
        <v>0</v>
      </c>
      <c r="FD96" s="59"/>
    </row>
    <row r="97" spans="1:160">
      <c r="A97" s="60" t="str">
        <f>N74</f>
        <v>Anno 10</v>
      </c>
      <c r="B97" s="59" t="s">
        <v>61</v>
      </c>
      <c r="C97" s="81"/>
      <c r="D97" s="52">
        <f>D96</f>
        <v>0</v>
      </c>
      <c r="E97" s="78"/>
      <c r="N97" s="63">
        <f>$D97-N96</f>
        <v>0</v>
      </c>
      <c r="O97" s="63">
        <f t="shared" ref="O97:AI97" si="76">IF(N97-O96&gt;0,N97-O96,0)</f>
        <v>0</v>
      </c>
      <c r="P97" s="63">
        <f t="shared" si="76"/>
        <v>0</v>
      </c>
      <c r="Q97" s="63">
        <f t="shared" si="76"/>
        <v>0</v>
      </c>
      <c r="R97" s="63">
        <f t="shared" si="76"/>
        <v>0</v>
      </c>
      <c r="S97" s="63">
        <f t="shared" si="76"/>
        <v>0</v>
      </c>
      <c r="T97" s="63">
        <f t="shared" si="76"/>
        <v>0</v>
      </c>
      <c r="U97" s="63">
        <f t="shared" si="76"/>
        <v>0</v>
      </c>
      <c r="V97" s="63">
        <f t="shared" si="76"/>
        <v>0</v>
      </c>
      <c r="W97" s="63">
        <f t="shared" si="76"/>
        <v>0</v>
      </c>
      <c r="X97" s="63">
        <f t="shared" si="76"/>
        <v>0</v>
      </c>
      <c r="Y97" s="63">
        <f t="shared" si="76"/>
        <v>0</v>
      </c>
      <c r="Z97" s="63">
        <f t="shared" si="76"/>
        <v>0</v>
      </c>
      <c r="AA97" s="63">
        <f t="shared" si="76"/>
        <v>0</v>
      </c>
      <c r="AB97" s="63">
        <f t="shared" si="76"/>
        <v>0</v>
      </c>
      <c r="AC97" s="63">
        <f t="shared" si="76"/>
        <v>0</v>
      </c>
      <c r="AD97" s="63">
        <f t="shared" si="76"/>
        <v>0</v>
      </c>
      <c r="AE97" s="63">
        <f t="shared" si="76"/>
        <v>0</v>
      </c>
      <c r="AF97" s="63">
        <f t="shared" si="76"/>
        <v>0</v>
      </c>
      <c r="AG97" s="63">
        <f t="shared" si="76"/>
        <v>0</v>
      </c>
      <c r="AH97" s="63">
        <f t="shared" si="76"/>
        <v>0</v>
      </c>
      <c r="AI97" s="79">
        <f t="shared" si="76"/>
        <v>0</v>
      </c>
    </row>
    <row r="98" spans="1:160" s="80" customFormat="1">
      <c r="A98" s="95" t="str">
        <f>O74</f>
        <v>Anno 11</v>
      </c>
      <c r="B98" s="80" t="str">
        <f>$B76</f>
        <v>Opere edili</v>
      </c>
      <c r="C98" s="81">
        <f>$C$76</f>
        <v>0</v>
      </c>
      <c r="D98" s="52"/>
      <c r="E98" s="85"/>
      <c r="F98" s="64"/>
      <c r="G98" s="64"/>
      <c r="H98" s="64"/>
      <c r="I98" s="64"/>
      <c r="J98" s="87"/>
      <c r="K98" s="87"/>
      <c r="L98" s="87"/>
      <c r="M98" s="87"/>
      <c r="N98" s="87"/>
      <c r="O98" s="64">
        <f>IF($D98*$C98&gt;=$D99,$D99,$D98*$C98)</f>
        <v>0</v>
      </c>
      <c r="P98" s="64">
        <f t="shared" ref="P98:AI98" si="77">IF($D98*$C98&gt;=O99,O99,$D98*$C98)</f>
        <v>0</v>
      </c>
      <c r="Q98" s="64">
        <f t="shared" si="77"/>
        <v>0</v>
      </c>
      <c r="R98" s="64">
        <f t="shared" si="77"/>
        <v>0</v>
      </c>
      <c r="S98" s="64">
        <f t="shared" si="77"/>
        <v>0</v>
      </c>
      <c r="T98" s="64">
        <f t="shared" si="77"/>
        <v>0</v>
      </c>
      <c r="U98" s="64">
        <f t="shared" si="77"/>
        <v>0</v>
      </c>
      <c r="V98" s="64">
        <f t="shared" si="77"/>
        <v>0</v>
      </c>
      <c r="W98" s="64">
        <f t="shared" si="77"/>
        <v>0</v>
      </c>
      <c r="X98" s="64">
        <f t="shared" si="77"/>
        <v>0</v>
      </c>
      <c r="Y98" s="64">
        <f t="shared" si="77"/>
        <v>0</v>
      </c>
      <c r="Z98" s="64">
        <f t="shared" si="77"/>
        <v>0</v>
      </c>
      <c r="AA98" s="64">
        <f t="shared" si="77"/>
        <v>0</v>
      </c>
      <c r="AB98" s="64">
        <f t="shared" si="77"/>
        <v>0</v>
      </c>
      <c r="AC98" s="64">
        <f t="shared" si="77"/>
        <v>0</v>
      </c>
      <c r="AD98" s="64">
        <f t="shared" si="77"/>
        <v>0</v>
      </c>
      <c r="AE98" s="64">
        <f t="shared" si="77"/>
        <v>0</v>
      </c>
      <c r="AF98" s="64">
        <f t="shared" si="77"/>
        <v>0</v>
      </c>
      <c r="AG98" s="64">
        <f t="shared" si="77"/>
        <v>0</v>
      </c>
      <c r="AH98" s="64">
        <f t="shared" si="77"/>
        <v>0</v>
      </c>
      <c r="AI98" s="86">
        <f t="shared" si="77"/>
        <v>0</v>
      </c>
      <c r="FD98" s="59"/>
    </row>
    <row r="99" spans="1:160">
      <c r="A99" s="60" t="str">
        <f>O74</f>
        <v>Anno 11</v>
      </c>
      <c r="B99" s="59" t="s">
        <v>61</v>
      </c>
      <c r="C99" s="81"/>
      <c r="D99" s="52">
        <f>D98</f>
        <v>0</v>
      </c>
      <c r="E99" s="78"/>
      <c r="O99" s="63">
        <f>$D99-O98</f>
        <v>0</v>
      </c>
      <c r="P99" s="63">
        <f t="shared" ref="P99:AI99" si="78">IF(O99-P98&gt;0,O99-P98,0)</f>
        <v>0</v>
      </c>
      <c r="Q99" s="63">
        <f t="shared" si="78"/>
        <v>0</v>
      </c>
      <c r="R99" s="63">
        <f t="shared" si="78"/>
        <v>0</v>
      </c>
      <c r="S99" s="63">
        <f t="shared" si="78"/>
        <v>0</v>
      </c>
      <c r="T99" s="63">
        <f t="shared" si="78"/>
        <v>0</v>
      </c>
      <c r="U99" s="63">
        <f t="shared" si="78"/>
        <v>0</v>
      </c>
      <c r="V99" s="63">
        <f t="shared" si="78"/>
        <v>0</v>
      </c>
      <c r="W99" s="63">
        <f t="shared" si="78"/>
        <v>0</v>
      </c>
      <c r="X99" s="63">
        <f t="shared" si="78"/>
        <v>0</v>
      </c>
      <c r="Y99" s="63">
        <f t="shared" si="78"/>
        <v>0</v>
      </c>
      <c r="Z99" s="63">
        <f t="shared" si="78"/>
        <v>0</v>
      </c>
      <c r="AA99" s="63">
        <f t="shared" si="78"/>
        <v>0</v>
      </c>
      <c r="AB99" s="63">
        <f t="shared" si="78"/>
        <v>0</v>
      </c>
      <c r="AC99" s="63">
        <f t="shared" si="78"/>
        <v>0</v>
      </c>
      <c r="AD99" s="63">
        <f t="shared" si="78"/>
        <v>0</v>
      </c>
      <c r="AE99" s="63">
        <f t="shared" si="78"/>
        <v>0</v>
      </c>
      <c r="AF99" s="63">
        <f t="shared" si="78"/>
        <v>0</v>
      </c>
      <c r="AG99" s="63">
        <f t="shared" si="78"/>
        <v>0</v>
      </c>
      <c r="AH99" s="63">
        <f t="shared" si="78"/>
        <v>0</v>
      </c>
      <c r="AI99" s="79">
        <f t="shared" si="78"/>
        <v>0</v>
      </c>
    </row>
    <row r="100" spans="1:160" s="80" customFormat="1">
      <c r="A100" s="95" t="str">
        <f>P74</f>
        <v>Anno 12</v>
      </c>
      <c r="B100" s="80" t="str">
        <f>$B76</f>
        <v>Opere edili</v>
      </c>
      <c r="C100" s="81">
        <f>$C$76</f>
        <v>0</v>
      </c>
      <c r="D100" s="52"/>
      <c r="E100" s="85"/>
      <c r="F100" s="64"/>
      <c r="G100" s="64"/>
      <c r="H100" s="64"/>
      <c r="I100" s="64"/>
      <c r="J100" s="87"/>
      <c r="K100" s="87"/>
      <c r="L100" s="87"/>
      <c r="M100" s="87"/>
      <c r="N100" s="87"/>
      <c r="O100" s="87"/>
      <c r="P100" s="64">
        <f>IF($D100*$C100&gt;=$D101,$D101,$D100*$C100)</f>
        <v>0</v>
      </c>
      <c r="Q100" s="64">
        <f t="shared" ref="Q100:AI100" si="79">IF($D100*$C100&gt;=P101,P101,$D100*$C100)</f>
        <v>0</v>
      </c>
      <c r="R100" s="64">
        <f t="shared" si="79"/>
        <v>0</v>
      </c>
      <c r="S100" s="64">
        <f t="shared" si="79"/>
        <v>0</v>
      </c>
      <c r="T100" s="64">
        <f t="shared" si="79"/>
        <v>0</v>
      </c>
      <c r="U100" s="64">
        <f t="shared" si="79"/>
        <v>0</v>
      </c>
      <c r="V100" s="64">
        <f t="shared" si="79"/>
        <v>0</v>
      </c>
      <c r="W100" s="64">
        <f t="shared" si="79"/>
        <v>0</v>
      </c>
      <c r="X100" s="64">
        <f t="shared" si="79"/>
        <v>0</v>
      </c>
      <c r="Y100" s="64">
        <f t="shared" si="79"/>
        <v>0</v>
      </c>
      <c r="Z100" s="64">
        <f t="shared" si="79"/>
        <v>0</v>
      </c>
      <c r="AA100" s="64">
        <f t="shared" si="79"/>
        <v>0</v>
      </c>
      <c r="AB100" s="64">
        <f t="shared" si="79"/>
        <v>0</v>
      </c>
      <c r="AC100" s="64">
        <f t="shared" si="79"/>
        <v>0</v>
      </c>
      <c r="AD100" s="64">
        <f t="shared" si="79"/>
        <v>0</v>
      </c>
      <c r="AE100" s="64">
        <f t="shared" si="79"/>
        <v>0</v>
      </c>
      <c r="AF100" s="64">
        <f t="shared" si="79"/>
        <v>0</v>
      </c>
      <c r="AG100" s="64">
        <f t="shared" si="79"/>
        <v>0</v>
      </c>
      <c r="AH100" s="64">
        <f t="shared" si="79"/>
        <v>0</v>
      </c>
      <c r="AI100" s="86">
        <f t="shared" si="79"/>
        <v>0</v>
      </c>
      <c r="FD100" s="59"/>
    </row>
    <row r="101" spans="1:160">
      <c r="A101" s="60" t="str">
        <f>P74</f>
        <v>Anno 12</v>
      </c>
      <c r="B101" s="59" t="s">
        <v>61</v>
      </c>
      <c r="C101" s="88"/>
      <c r="D101" s="52">
        <f>D100</f>
        <v>0</v>
      </c>
      <c r="E101" s="78"/>
      <c r="P101" s="63">
        <f>$D101-P100</f>
        <v>0</v>
      </c>
      <c r="Q101" s="63">
        <f t="shared" ref="Q101:AI101" si="80">IF(P101-Q100&gt;0,P101-Q100,0)</f>
        <v>0</v>
      </c>
      <c r="R101" s="63">
        <f t="shared" si="80"/>
        <v>0</v>
      </c>
      <c r="S101" s="63">
        <f t="shared" si="80"/>
        <v>0</v>
      </c>
      <c r="T101" s="63">
        <f t="shared" si="80"/>
        <v>0</v>
      </c>
      <c r="U101" s="63">
        <f t="shared" si="80"/>
        <v>0</v>
      </c>
      <c r="V101" s="63">
        <f t="shared" si="80"/>
        <v>0</v>
      </c>
      <c r="W101" s="63">
        <f t="shared" si="80"/>
        <v>0</v>
      </c>
      <c r="X101" s="63">
        <f t="shared" si="80"/>
        <v>0</v>
      </c>
      <c r="Y101" s="63">
        <f t="shared" si="80"/>
        <v>0</v>
      </c>
      <c r="Z101" s="63">
        <f t="shared" si="80"/>
        <v>0</v>
      </c>
      <c r="AA101" s="63">
        <f t="shared" si="80"/>
        <v>0</v>
      </c>
      <c r="AB101" s="63">
        <f t="shared" si="80"/>
        <v>0</v>
      </c>
      <c r="AC101" s="63">
        <f t="shared" si="80"/>
        <v>0</v>
      </c>
      <c r="AD101" s="63">
        <f t="shared" si="80"/>
        <v>0</v>
      </c>
      <c r="AE101" s="63">
        <f t="shared" si="80"/>
        <v>0</v>
      </c>
      <c r="AF101" s="63">
        <f t="shared" si="80"/>
        <v>0</v>
      </c>
      <c r="AG101" s="63">
        <f t="shared" si="80"/>
        <v>0</v>
      </c>
      <c r="AH101" s="63">
        <f t="shared" si="80"/>
        <v>0</v>
      </c>
      <c r="AI101" s="79">
        <f t="shared" si="80"/>
        <v>0</v>
      </c>
    </row>
    <row r="102" spans="1:160">
      <c r="A102" s="95" t="str">
        <f>Q74</f>
        <v>Anno 13</v>
      </c>
      <c r="B102" s="80" t="str">
        <f>$B100</f>
        <v>Opere edili</v>
      </c>
      <c r="C102" s="81">
        <f>$C$76</f>
        <v>0</v>
      </c>
      <c r="D102" s="52"/>
      <c r="E102" s="78"/>
      <c r="Q102" s="64">
        <f>IF($D102*$C102&gt;=$D103,$D103,$D102*$C102)</f>
        <v>0</v>
      </c>
      <c r="R102" s="64">
        <f t="shared" ref="R102:AI102" si="81">IF($D102*$C102&gt;=Q103,Q103,$D102*$C102)</f>
        <v>0</v>
      </c>
      <c r="S102" s="64">
        <f t="shared" si="81"/>
        <v>0</v>
      </c>
      <c r="T102" s="64">
        <f t="shared" si="81"/>
        <v>0</v>
      </c>
      <c r="U102" s="64">
        <f t="shared" si="81"/>
        <v>0</v>
      </c>
      <c r="V102" s="64">
        <f t="shared" si="81"/>
        <v>0</v>
      </c>
      <c r="W102" s="64">
        <f t="shared" si="81"/>
        <v>0</v>
      </c>
      <c r="X102" s="64">
        <f t="shared" si="81"/>
        <v>0</v>
      </c>
      <c r="Y102" s="64">
        <f t="shared" si="81"/>
        <v>0</v>
      </c>
      <c r="Z102" s="64">
        <f t="shared" si="81"/>
        <v>0</v>
      </c>
      <c r="AA102" s="64">
        <f t="shared" si="81"/>
        <v>0</v>
      </c>
      <c r="AB102" s="64">
        <f t="shared" si="81"/>
        <v>0</v>
      </c>
      <c r="AC102" s="64">
        <f t="shared" si="81"/>
        <v>0</v>
      </c>
      <c r="AD102" s="64">
        <f t="shared" si="81"/>
        <v>0</v>
      </c>
      <c r="AE102" s="64">
        <f t="shared" si="81"/>
        <v>0</v>
      </c>
      <c r="AF102" s="64">
        <f t="shared" si="81"/>
        <v>0</v>
      </c>
      <c r="AG102" s="64">
        <f t="shared" si="81"/>
        <v>0</v>
      </c>
      <c r="AH102" s="64">
        <f t="shared" si="81"/>
        <v>0</v>
      </c>
      <c r="AI102" s="86">
        <f t="shared" si="81"/>
        <v>0</v>
      </c>
    </row>
    <row r="103" spans="1:160">
      <c r="A103" s="60" t="str">
        <f>Q74</f>
        <v>Anno 13</v>
      </c>
      <c r="B103" s="59" t="s">
        <v>61</v>
      </c>
      <c r="C103" s="81"/>
      <c r="D103" s="52">
        <f>D102</f>
        <v>0</v>
      </c>
      <c r="E103" s="78"/>
      <c r="Q103" s="63">
        <f>$D103-Q102</f>
        <v>0</v>
      </c>
      <c r="R103" s="63">
        <f t="shared" ref="R103:AI103" si="82">IF(Q103-R102&gt;0,Q103-R102,0)</f>
        <v>0</v>
      </c>
      <c r="S103" s="63">
        <f t="shared" si="82"/>
        <v>0</v>
      </c>
      <c r="T103" s="63">
        <f t="shared" si="82"/>
        <v>0</v>
      </c>
      <c r="U103" s="63">
        <f t="shared" si="82"/>
        <v>0</v>
      </c>
      <c r="V103" s="63">
        <f t="shared" si="82"/>
        <v>0</v>
      </c>
      <c r="W103" s="63">
        <f t="shared" si="82"/>
        <v>0</v>
      </c>
      <c r="X103" s="63">
        <f t="shared" si="82"/>
        <v>0</v>
      </c>
      <c r="Y103" s="63">
        <f t="shared" si="82"/>
        <v>0</v>
      </c>
      <c r="Z103" s="63">
        <f t="shared" si="82"/>
        <v>0</v>
      </c>
      <c r="AA103" s="63">
        <f t="shared" si="82"/>
        <v>0</v>
      </c>
      <c r="AB103" s="63">
        <f t="shared" si="82"/>
        <v>0</v>
      </c>
      <c r="AC103" s="63">
        <f t="shared" si="82"/>
        <v>0</v>
      </c>
      <c r="AD103" s="63">
        <f t="shared" si="82"/>
        <v>0</v>
      </c>
      <c r="AE103" s="63">
        <f t="shared" si="82"/>
        <v>0</v>
      </c>
      <c r="AF103" s="63">
        <f t="shared" si="82"/>
        <v>0</v>
      </c>
      <c r="AG103" s="63">
        <f t="shared" si="82"/>
        <v>0</v>
      </c>
      <c r="AH103" s="63">
        <f t="shared" si="82"/>
        <v>0</v>
      </c>
      <c r="AI103" s="79">
        <f t="shared" si="82"/>
        <v>0</v>
      </c>
    </row>
    <row r="104" spans="1:160">
      <c r="A104" s="95" t="str">
        <f>R74</f>
        <v>Anno 14</v>
      </c>
      <c r="B104" s="80" t="str">
        <f>$B100</f>
        <v>Opere edili</v>
      </c>
      <c r="C104" s="81">
        <f>$C$76</f>
        <v>0</v>
      </c>
      <c r="D104" s="52"/>
      <c r="E104" s="78"/>
      <c r="Q104" s="64"/>
      <c r="R104" s="64">
        <f>IF($D104*$C104&gt;=$D105,$D105,$D104*$C104)</f>
        <v>0</v>
      </c>
      <c r="S104" s="64">
        <f t="shared" ref="S104:AI104" si="83">IF($D104*$C104&gt;=R105,R105,$D104*$C104)</f>
        <v>0</v>
      </c>
      <c r="T104" s="64">
        <f t="shared" si="83"/>
        <v>0</v>
      </c>
      <c r="U104" s="64">
        <f t="shared" si="83"/>
        <v>0</v>
      </c>
      <c r="V104" s="64">
        <f t="shared" si="83"/>
        <v>0</v>
      </c>
      <c r="W104" s="64">
        <f t="shared" si="83"/>
        <v>0</v>
      </c>
      <c r="X104" s="64">
        <f t="shared" si="83"/>
        <v>0</v>
      </c>
      <c r="Y104" s="64">
        <f t="shared" si="83"/>
        <v>0</v>
      </c>
      <c r="Z104" s="64">
        <f t="shared" si="83"/>
        <v>0</v>
      </c>
      <c r="AA104" s="64">
        <f t="shared" si="83"/>
        <v>0</v>
      </c>
      <c r="AB104" s="64">
        <f t="shared" si="83"/>
        <v>0</v>
      </c>
      <c r="AC104" s="64">
        <f t="shared" si="83"/>
        <v>0</v>
      </c>
      <c r="AD104" s="64">
        <f t="shared" si="83"/>
        <v>0</v>
      </c>
      <c r="AE104" s="64">
        <f t="shared" si="83"/>
        <v>0</v>
      </c>
      <c r="AF104" s="64">
        <f t="shared" si="83"/>
        <v>0</v>
      </c>
      <c r="AG104" s="64">
        <f t="shared" si="83"/>
        <v>0</v>
      </c>
      <c r="AH104" s="64">
        <f t="shared" si="83"/>
        <v>0</v>
      </c>
      <c r="AI104" s="86">
        <f t="shared" si="83"/>
        <v>0</v>
      </c>
    </row>
    <row r="105" spans="1:160">
      <c r="A105" s="60" t="str">
        <f>R74</f>
        <v>Anno 14</v>
      </c>
      <c r="B105" s="59" t="s">
        <v>61</v>
      </c>
      <c r="C105" s="81"/>
      <c r="D105" s="52">
        <f>D104</f>
        <v>0</v>
      </c>
      <c r="E105" s="78"/>
      <c r="Q105" s="63"/>
      <c r="R105" s="63">
        <f>$D105-R104</f>
        <v>0</v>
      </c>
      <c r="S105" s="63">
        <f t="shared" ref="S105:AI105" si="84">IF(R105-S104&gt;0,R105-S104,0)</f>
        <v>0</v>
      </c>
      <c r="T105" s="63">
        <f t="shared" si="84"/>
        <v>0</v>
      </c>
      <c r="U105" s="63">
        <f t="shared" si="84"/>
        <v>0</v>
      </c>
      <c r="V105" s="63">
        <f t="shared" si="84"/>
        <v>0</v>
      </c>
      <c r="W105" s="63">
        <f t="shared" si="84"/>
        <v>0</v>
      </c>
      <c r="X105" s="63">
        <f t="shared" si="84"/>
        <v>0</v>
      </c>
      <c r="Y105" s="63">
        <f t="shared" si="84"/>
        <v>0</v>
      </c>
      <c r="Z105" s="63">
        <f t="shared" si="84"/>
        <v>0</v>
      </c>
      <c r="AA105" s="63">
        <f t="shared" si="84"/>
        <v>0</v>
      </c>
      <c r="AB105" s="63">
        <f t="shared" si="84"/>
        <v>0</v>
      </c>
      <c r="AC105" s="63">
        <f t="shared" si="84"/>
        <v>0</v>
      </c>
      <c r="AD105" s="63">
        <f t="shared" si="84"/>
        <v>0</v>
      </c>
      <c r="AE105" s="63">
        <f t="shared" si="84"/>
        <v>0</v>
      </c>
      <c r="AF105" s="63">
        <f t="shared" si="84"/>
        <v>0</v>
      </c>
      <c r="AG105" s="63">
        <f t="shared" si="84"/>
        <v>0</v>
      </c>
      <c r="AH105" s="63">
        <f t="shared" si="84"/>
        <v>0</v>
      </c>
      <c r="AI105" s="79">
        <f t="shared" si="84"/>
        <v>0</v>
      </c>
    </row>
    <row r="106" spans="1:160">
      <c r="A106" s="95" t="str">
        <f>S74</f>
        <v>Anno 15</v>
      </c>
      <c r="B106" s="80" t="str">
        <f>$B100</f>
        <v>Opere edili</v>
      </c>
      <c r="C106" s="81">
        <f>$C$76</f>
        <v>0</v>
      </c>
      <c r="D106" s="52"/>
      <c r="E106" s="78"/>
      <c r="Q106" s="64"/>
      <c r="R106" s="64"/>
      <c r="S106" s="64">
        <f>IF($D106*$C106&gt;=$D107,$D107,$D106*$C106)</f>
        <v>0</v>
      </c>
      <c r="T106" s="64">
        <f t="shared" ref="T106:AI106" si="85">IF($D106*$C106&gt;=S107,S107,$D106*$C106)</f>
        <v>0</v>
      </c>
      <c r="U106" s="64">
        <f t="shared" si="85"/>
        <v>0</v>
      </c>
      <c r="V106" s="64">
        <f t="shared" si="85"/>
        <v>0</v>
      </c>
      <c r="W106" s="64">
        <f t="shared" si="85"/>
        <v>0</v>
      </c>
      <c r="X106" s="64">
        <f t="shared" si="85"/>
        <v>0</v>
      </c>
      <c r="Y106" s="64">
        <f t="shared" si="85"/>
        <v>0</v>
      </c>
      <c r="Z106" s="64">
        <f t="shared" si="85"/>
        <v>0</v>
      </c>
      <c r="AA106" s="64">
        <f t="shared" si="85"/>
        <v>0</v>
      </c>
      <c r="AB106" s="64">
        <f t="shared" si="85"/>
        <v>0</v>
      </c>
      <c r="AC106" s="64">
        <f t="shared" si="85"/>
        <v>0</v>
      </c>
      <c r="AD106" s="64">
        <f t="shared" si="85"/>
        <v>0</v>
      </c>
      <c r="AE106" s="64">
        <f t="shared" si="85"/>
        <v>0</v>
      </c>
      <c r="AF106" s="64">
        <f t="shared" si="85"/>
        <v>0</v>
      </c>
      <c r="AG106" s="64">
        <f t="shared" si="85"/>
        <v>0</v>
      </c>
      <c r="AH106" s="64">
        <f t="shared" si="85"/>
        <v>0</v>
      </c>
      <c r="AI106" s="86">
        <f t="shared" si="85"/>
        <v>0</v>
      </c>
    </row>
    <row r="107" spans="1:160">
      <c r="A107" s="60" t="str">
        <f>S74</f>
        <v>Anno 15</v>
      </c>
      <c r="B107" s="59" t="s">
        <v>61</v>
      </c>
      <c r="C107" s="81"/>
      <c r="D107" s="52">
        <f>D106</f>
        <v>0</v>
      </c>
      <c r="E107" s="78"/>
      <c r="Q107" s="63"/>
      <c r="R107" s="63"/>
      <c r="S107" s="63">
        <f>$D107-S106</f>
        <v>0</v>
      </c>
      <c r="T107" s="63">
        <f t="shared" ref="T107:AI107" si="86">IF(S107-T106&gt;0,S107-T106,0)</f>
        <v>0</v>
      </c>
      <c r="U107" s="63">
        <f t="shared" si="86"/>
        <v>0</v>
      </c>
      <c r="V107" s="63">
        <f t="shared" si="86"/>
        <v>0</v>
      </c>
      <c r="W107" s="63">
        <f t="shared" si="86"/>
        <v>0</v>
      </c>
      <c r="X107" s="63">
        <f t="shared" si="86"/>
        <v>0</v>
      </c>
      <c r="Y107" s="63">
        <f t="shared" si="86"/>
        <v>0</v>
      </c>
      <c r="Z107" s="63">
        <f t="shared" si="86"/>
        <v>0</v>
      </c>
      <c r="AA107" s="63">
        <f t="shared" si="86"/>
        <v>0</v>
      </c>
      <c r="AB107" s="63">
        <f t="shared" si="86"/>
        <v>0</v>
      </c>
      <c r="AC107" s="63">
        <f t="shared" si="86"/>
        <v>0</v>
      </c>
      <c r="AD107" s="63">
        <f t="shared" si="86"/>
        <v>0</v>
      </c>
      <c r="AE107" s="63">
        <f t="shared" si="86"/>
        <v>0</v>
      </c>
      <c r="AF107" s="63">
        <f t="shared" si="86"/>
        <v>0</v>
      </c>
      <c r="AG107" s="63">
        <f t="shared" si="86"/>
        <v>0</v>
      </c>
      <c r="AH107" s="63">
        <f t="shared" si="86"/>
        <v>0</v>
      </c>
      <c r="AI107" s="79">
        <f t="shared" si="86"/>
        <v>0</v>
      </c>
    </row>
    <row r="108" spans="1:160">
      <c r="A108" s="95" t="str">
        <f>T74</f>
        <v>Anno 16</v>
      </c>
      <c r="B108" s="80" t="str">
        <f>$B100</f>
        <v>Opere edili</v>
      </c>
      <c r="C108" s="81">
        <f>$C$76</f>
        <v>0</v>
      </c>
      <c r="D108" s="52"/>
      <c r="E108" s="78"/>
      <c r="Q108" s="64"/>
      <c r="R108" s="64"/>
      <c r="S108" s="64"/>
      <c r="T108" s="64">
        <f>IF($D108*$C108&gt;=$D109,$D109,$D108*$C108)</f>
        <v>0</v>
      </c>
      <c r="U108" s="64">
        <f t="shared" ref="U108:AI108" si="87">IF($D108*$C108&gt;=T109,T109,$D108*$C108)</f>
        <v>0</v>
      </c>
      <c r="V108" s="64">
        <f t="shared" si="87"/>
        <v>0</v>
      </c>
      <c r="W108" s="64">
        <f t="shared" si="87"/>
        <v>0</v>
      </c>
      <c r="X108" s="64">
        <f t="shared" si="87"/>
        <v>0</v>
      </c>
      <c r="Y108" s="64">
        <f t="shared" si="87"/>
        <v>0</v>
      </c>
      <c r="Z108" s="64">
        <f t="shared" si="87"/>
        <v>0</v>
      </c>
      <c r="AA108" s="64">
        <f t="shared" si="87"/>
        <v>0</v>
      </c>
      <c r="AB108" s="64">
        <f t="shared" si="87"/>
        <v>0</v>
      </c>
      <c r="AC108" s="64">
        <f t="shared" si="87"/>
        <v>0</v>
      </c>
      <c r="AD108" s="64">
        <f t="shared" si="87"/>
        <v>0</v>
      </c>
      <c r="AE108" s="64">
        <f t="shared" si="87"/>
        <v>0</v>
      </c>
      <c r="AF108" s="64">
        <f t="shared" si="87"/>
        <v>0</v>
      </c>
      <c r="AG108" s="64">
        <f t="shared" si="87"/>
        <v>0</v>
      </c>
      <c r="AH108" s="64">
        <f t="shared" si="87"/>
        <v>0</v>
      </c>
      <c r="AI108" s="86">
        <f t="shared" si="87"/>
        <v>0</v>
      </c>
    </row>
    <row r="109" spans="1:160">
      <c r="A109" s="60" t="str">
        <f>T74</f>
        <v>Anno 16</v>
      </c>
      <c r="B109" s="59" t="s">
        <v>61</v>
      </c>
      <c r="C109" s="81"/>
      <c r="D109" s="52">
        <f>D108</f>
        <v>0</v>
      </c>
      <c r="E109" s="78"/>
      <c r="Q109" s="63"/>
      <c r="R109" s="63"/>
      <c r="S109" s="63"/>
      <c r="T109" s="63">
        <f>$D109-T108</f>
        <v>0</v>
      </c>
      <c r="U109" s="63">
        <f t="shared" ref="U109:AI109" si="88">IF(T109-U108&gt;0,T109-U108,0)</f>
        <v>0</v>
      </c>
      <c r="V109" s="63">
        <f t="shared" si="88"/>
        <v>0</v>
      </c>
      <c r="W109" s="63">
        <f t="shared" si="88"/>
        <v>0</v>
      </c>
      <c r="X109" s="63">
        <f t="shared" si="88"/>
        <v>0</v>
      </c>
      <c r="Y109" s="63">
        <f t="shared" si="88"/>
        <v>0</v>
      </c>
      <c r="Z109" s="63">
        <f t="shared" si="88"/>
        <v>0</v>
      </c>
      <c r="AA109" s="63">
        <f t="shared" si="88"/>
        <v>0</v>
      </c>
      <c r="AB109" s="63">
        <f t="shared" si="88"/>
        <v>0</v>
      </c>
      <c r="AC109" s="63">
        <f t="shared" si="88"/>
        <v>0</v>
      </c>
      <c r="AD109" s="63">
        <f t="shared" si="88"/>
        <v>0</v>
      </c>
      <c r="AE109" s="63">
        <f t="shared" si="88"/>
        <v>0</v>
      </c>
      <c r="AF109" s="63">
        <f t="shared" si="88"/>
        <v>0</v>
      </c>
      <c r="AG109" s="63">
        <f t="shared" si="88"/>
        <v>0</v>
      </c>
      <c r="AH109" s="63">
        <f t="shared" si="88"/>
        <v>0</v>
      </c>
      <c r="AI109" s="79">
        <f t="shared" si="88"/>
        <v>0</v>
      </c>
    </row>
    <row r="110" spans="1:160">
      <c r="A110" s="95" t="str">
        <f>U74</f>
        <v>Anno 17</v>
      </c>
      <c r="B110" s="80" t="str">
        <f>$B100</f>
        <v>Opere edili</v>
      </c>
      <c r="C110" s="81">
        <f>$C$76</f>
        <v>0</v>
      </c>
      <c r="D110" s="52"/>
      <c r="E110" s="78"/>
      <c r="Q110" s="64"/>
      <c r="R110" s="64"/>
      <c r="S110" s="64"/>
      <c r="T110" s="64"/>
      <c r="U110" s="64">
        <f>IF($D110*$C110&gt;=$D111,$D111,$D110*$C110)</f>
        <v>0</v>
      </c>
      <c r="V110" s="64">
        <f t="shared" ref="V110:AI110" si="89">IF($D110*$C110&gt;=U111,U111,$D110*$C110)</f>
        <v>0</v>
      </c>
      <c r="W110" s="64">
        <f t="shared" si="89"/>
        <v>0</v>
      </c>
      <c r="X110" s="64">
        <f t="shared" si="89"/>
        <v>0</v>
      </c>
      <c r="Y110" s="64">
        <f t="shared" si="89"/>
        <v>0</v>
      </c>
      <c r="Z110" s="64">
        <f t="shared" si="89"/>
        <v>0</v>
      </c>
      <c r="AA110" s="64">
        <f t="shared" si="89"/>
        <v>0</v>
      </c>
      <c r="AB110" s="64">
        <f t="shared" si="89"/>
        <v>0</v>
      </c>
      <c r="AC110" s="64">
        <f t="shared" si="89"/>
        <v>0</v>
      </c>
      <c r="AD110" s="64">
        <f t="shared" si="89"/>
        <v>0</v>
      </c>
      <c r="AE110" s="64">
        <f t="shared" si="89"/>
        <v>0</v>
      </c>
      <c r="AF110" s="64">
        <f t="shared" si="89"/>
        <v>0</v>
      </c>
      <c r="AG110" s="64">
        <f t="shared" si="89"/>
        <v>0</v>
      </c>
      <c r="AH110" s="64">
        <f t="shared" si="89"/>
        <v>0</v>
      </c>
      <c r="AI110" s="86">
        <f t="shared" si="89"/>
        <v>0</v>
      </c>
    </row>
    <row r="111" spans="1:160">
      <c r="A111" s="60" t="str">
        <f>U74</f>
        <v>Anno 17</v>
      </c>
      <c r="B111" s="59" t="s">
        <v>61</v>
      </c>
      <c r="C111" s="81"/>
      <c r="D111" s="52">
        <f>D110</f>
        <v>0</v>
      </c>
      <c r="E111" s="78"/>
      <c r="Q111" s="63"/>
      <c r="R111" s="63"/>
      <c r="S111" s="63"/>
      <c r="T111" s="63"/>
      <c r="U111" s="63">
        <f>$D111-U110</f>
        <v>0</v>
      </c>
      <c r="V111" s="63">
        <f t="shared" ref="V111:AI111" si="90">IF(U111-V110&gt;0,U111-V110,0)</f>
        <v>0</v>
      </c>
      <c r="W111" s="63">
        <f t="shared" si="90"/>
        <v>0</v>
      </c>
      <c r="X111" s="63">
        <f t="shared" si="90"/>
        <v>0</v>
      </c>
      <c r="Y111" s="63">
        <f t="shared" si="90"/>
        <v>0</v>
      </c>
      <c r="Z111" s="63">
        <f t="shared" si="90"/>
        <v>0</v>
      </c>
      <c r="AA111" s="63">
        <f t="shared" si="90"/>
        <v>0</v>
      </c>
      <c r="AB111" s="63">
        <f t="shared" si="90"/>
        <v>0</v>
      </c>
      <c r="AC111" s="63">
        <f t="shared" si="90"/>
        <v>0</v>
      </c>
      <c r="AD111" s="63">
        <f t="shared" si="90"/>
        <v>0</v>
      </c>
      <c r="AE111" s="63">
        <f t="shared" si="90"/>
        <v>0</v>
      </c>
      <c r="AF111" s="63">
        <f t="shared" si="90"/>
        <v>0</v>
      </c>
      <c r="AG111" s="63">
        <f t="shared" si="90"/>
        <v>0</v>
      </c>
      <c r="AH111" s="63">
        <f t="shared" si="90"/>
        <v>0</v>
      </c>
      <c r="AI111" s="79">
        <f t="shared" si="90"/>
        <v>0</v>
      </c>
    </row>
    <row r="112" spans="1:160">
      <c r="A112" s="95" t="str">
        <f>V74</f>
        <v>Anno 18</v>
      </c>
      <c r="B112" s="80" t="str">
        <f>$B100</f>
        <v>Opere edili</v>
      </c>
      <c r="C112" s="81">
        <f>$C$76</f>
        <v>0</v>
      </c>
      <c r="D112" s="52"/>
      <c r="E112" s="78"/>
      <c r="Q112" s="64"/>
      <c r="R112" s="64"/>
      <c r="S112" s="64"/>
      <c r="T112" s="64"/>
      <c r="U112" s="64"/>
      <c r="V112" s="64">
        <f>IF($D112*$C112&gt;=$D113,$D113,$D112*$C112)</f>
        <v>0</v>
      </c>
      <c r="W112" s="64">
        <f t="shared" ref="W112:AI112" si="91">IF($D112*$C112&gt;=V113,V113,$D112*$C112)</f>
        <v>0</v>
      </c>
      <c r="X112" s="64">
        <f t="shared" si="91"/>
        <v>0</v>
      </c>
      <c r="Y112" s="64">
        <f t="shared" si="91"/>
        <v>0</v>
      </c>
      <c r="Z112" s="64">
        <f t="shared" si="91"/>
        <v>0</v>
      </c>
      <c r="AA112" s="64">
        <f t="shared" si="91"/>
        <v>0</v>
      </c>
      <c r="AB112" s="64">
        <f t="shared" si="91"/>
        <v>0</v>
      </c>
      <c r="AC112" s="64">
        <f t="shared" si="91"/>
        <v>0</v>
      </c>
      <c r="AD112" s="64">
        <f t="shared" si="91"/>
        <v>0</v>
      </c>
      <c r="AE112" s="64">
        <f t="shared" si="91"/>
        <v>0</v>
      </c>
      <c r="AF112" s="64">
        <f t="shared" si="91"/>
        <v>0</v>
      </c>
      <c r="AG112" s="64">
        <f t="shared" si="91"/>
        <v>0</v>
      </c>
      <c r="AH112" s="64">
        <f t="shared" si="91"/>
        <v>0</v>
      </c>
      <c r="AI112" s="86">
        <f t="shared" si="91"/>
        <v>0</v>
      </c>
    </row>
    <row r="113" spans="1:35">
      <c r="A113" s="60" t="str">
        <f>V74</f>
        <v>Anno 18</v>
      </c>
      <c r="B113" s="59" t="s">
        <v>61</v>
      </c>
      <c r="C113" s="81"/>
      <c r="D113" s="52">
        <f>D112</f>
        <v>0</v>
      </c>
      <c r="E113" s="78"/>
      <c r="Q113" s="63"/>
      <c r="R113" s="63"/>
      <c r="S113" s="63"/>
      <c r="T113" s="63"/>
      <c r="U113" s="63"/>
      <c r="V113" s="63">
        <f>$D113-V112</f>
        <v>0</v>
      </c>
      <c r="W113" s="63">
        <f t="shared" ref="W113:AI113" si="92">IF(V113-W112&gt;0,V113-W112,0)</f>
        <v>0</v>
      </c>
      <c r="X113" s="63">
        <f t="shared" si="92"/>
        <v>0</v>
      </c>
      <c r="Y113" s="63">
        <f t="shared" si="92"/>
        <v>0</v>
      </c>
      <c r="Z113" s="63">
        <f t="shared" si="92"/>
        <v>0</v>
      </c>
      <c r="AA113" s="63">
        <f t="shared" si="92"/>
        <v>0</v>
      </c>
      <c r="AB113" s="63">
        <f t="shared" si="92"/>
        <v>0</v>
      </c>
      <c r="AC113" s="63">
        <f t="shared" si="92"/>
        <v>0</v>
      </c>
      <c r="AD113" s="63">
        <f t="shared" si="92"/>
        <v>0</v>
      </c>
      <c r="AE113" s="63">
        <f t="shared" si="92"/>
        <v>0</v>
      </c>
      <c r="AF113" s="63">
        <f t="shared" si="92"/>
        <v>0</v>
      </c>
      <c r="AG113" s="63">
        <f t="shared" si="92"/>
        <v>0</v>
      </c>
      <c r="AH113" s="63">
        <f t="shared" si="92"/>
        <v>0</v>
      </c>
      <c r="AI113" s="79">
        <f t="shared" si="92"/>
        <v>0</v>
      </c>
    </row>
    <row r="114" spans="1:35">
      <c r="A114" s="95" t="str">
        <f>W74</f>
        <v>Anno 19</v>
      </c>
      <c r="B114" s="80" t="str">
        <f>$B100</f>
        <v>Opere edili</v>
      </c>
      <c r="C114" s="81">
        <f>$C$76</f>
        <v>0</v>
      </c>
      <c r="D114" s="52"/>
      <c r="E114" s="78"/>
      <c r="Q114" s="64"/>
      <c r="R114" s="64"/>
      <c r="S114" s="64"/>
      <c r="T114" s="64"/>
      <c r="U114" s="64"/>
      <c r="V114" s="87"/>
      <c r="W114" s="64">
        <f>IF($D114*$C114&gt;=$D115,$D115,$D114*$C114)</f>
        <v>0</v>
      </c>
      <c r="X114" s="64">
        <f t="shared" ref="X114:AI114" si="93">IF($D114*$C114&gt;=W115,W115,$D114*$C114)</f>
        <v>0</v>
      </c>
      <c r="Y114" s="64">
        <f t="shared" si="93"/>
        <v>0</v>
      </c>
      <c r="Z114" s="64">
        <f t="shared" si="93"/>
        <v>0</v>
      </c>
      <c r="AA114" s="64">
        <f t="shared" si="93"/>
        <v>0</v>
      </c>
      <c r="AB114" s="64">
        <f t="shared" si="93"/>
        <v>0</v>
      </c>
      <c r="AC114" s="64">
        <f t="shared" si="93"/>
        <v>0</v>
      </c>
      <c r="AD114" s="64">
        <f t="shared" si="93"/>
        <v>0</v>
      </c>
      <c r="AE114" s="64">
        <f t="shared" si="93"/>
        <v>0</v>
      </c>
      <c r="AF114" s="64">
        <f t="shared" si="93"/>
        <v>0</v>
      </c>
      <c r="AG114" s="64">
        <f t="shared" si="93"/>
        <v>0</v>
      </c>
      <c r="AH114" s="64">
        <f t="shared" si="93"/>
        <v>0</v>
      </c>
      <c r="AI114" s="86">
        <f t="shared" si="93"/>
        <v>0</v>
      </c>
    </row>
    <row r="115" spans="1:35">
      <c r="A115" s="60" t="str">
        <f>W74</f>
        <v>Anno 19</v>
      </c>
      <c r="B115" s="59" t="s">
        <v>61</v>
      </c>
      <c r="C115" s="81"/>
      <c r="D115" s="52">
        <f>D114</f>
        <v>0</v>
      </c>
      <c r="E115" s="78"/>
      <c r="Q115" s="63"/>
      <c r="R115" s="63"/>
      <c r="S115" s="63"/>
      <c r="T115" s="63"/>
      <c r="U115" s="63"/>
      <c r="V115" s="66"/>
      <c r="W115" s="63">
        <f>$D115-W114</f>
        <v>0</v>
      </c>
      <c r="X115" s="63">
        <f t="shared" ref="X115:AI115" si="94">IF(W115-X114&gt;0,W115-X114,0)</f>
        <v>0</v>
      </c>
      <c r="Y115" s="63">
        <f t="shared" si="94"/>
        <v>0</v>
      </c>
      <c r="Z115" s="63">
        <f t="shared" si="94"/>
        <v>0</v>
      </c>
      <c r="AA115" s="63">
        <f t="shared" si="94"/>
        <v>0</v>
      </c>
      <c r="AB115" s="63">
        <f t="shared" si="94"/>
        <v>0</v>
      </c>
      <c r="AC115" s="63">
        <f t="shared" si="94"/>
        <v>0</v>
      </c>
      <c r="AD115" s="63">
        <f t="shared" si="94"/>
        <v>0</v>
      </c>
      <c r="AE115" s="63">
        <f t="shared" si="94"/>
        <v>0</v>
      </c>
      <c r="AF115" s="63">
        <f t="shared" si="94"/>
        <v>0</v>
      </c>
      <c r="AG115" s="63">
        <f t="shared" si="94"/>
        <v>0</v>
      </c>
      <c r="AH115" s="63">
        <f t="shared" si="94"/>
        <v>0</v>
      </c>
      <c r="AI115" s="79">
        <f t="shared" si="94"/>
        <v>0</v>
      </c>
    </row>
    <row r="116" spans="1:35">
      <c r="A116" s="95" t="str">
        <f>X74</f>
        <v>Anno 20</v>
      </c>
      <c r="B116" s="80" t="str">
        <f>$B100</f>
        <v>Opere edili</v>
      </c>
      <c r="C116" s="81">
        <f>$C$76</f>
        <v>0</v>
      </c>
      <c r="D116" s="52"/>
      <c r="E116" s="78"/>
      <c r="Q116" s="64"/>
      <c r="R116" s="64"/>
      <c r="S116" s="64"/>
      <c r="T116" s="64"/>
      <c r="U116" s="64"/>
      <c r="V116" s="87"/>
      <c r="W116" s="87"/>
      <c r="X116" s="64">
        <f>IF($D116*$C116&gt;=$D117,$D117,$D116*$C116)</f>
        <v>0</v>
      </c>
      <c r="Y116" s="64">
        <f t="shared" ref="Y116:AI116" si="95">IF($D116*$C116&gt;=X117,X117,$D116*$C116)</f>
        <v>0</v>
      </c>
      <c r="Z116" s="64">
        <f t="shared" si="95"/>
        <v>0</v>
      </c>
      <c r="AA116" s="64">
        <f t="shared" si="95"/>
        <v>0</v>
      </c>
      <c r="AB116" s="64">
        <f t="shared" si="95"/>
        <v>0</v>
      </c>
      <c r="AC116" s="64">
        <f t="shared" si="95"/>
        <v>0</v>
      </c>
      <c r="AD116" s="64">
        <f t="shared" si="95"/>
        <v>0</v>
      </c>
      <c r="AE116" s="64">
        <f t="shared" si="95"/>
        <v>0</v>
      </c>
      <c r="AF116" s="64">
        <f t="shared" si="95"/>
        <v>0</v>
      </c>
      <c r="AG116" s="64">
        <f t="shared" si="95"/>
        <v>0</v>
      </c>
      <c r="AH116" s="64">
        <f t="shared" si="95"/>
        <v>0</v>
      </c>
      <c r="AI116" s="86">
        <f t="shared" si="95"/>
        <v>0</v>
      </c>
    </row>
    <row r="117" spans="1:35">
      <c r="A117" s="60" t="str">
        <f>X74</f>
        <v>Anno 20</v>
      </c>
      <c r="B117" s="59" t="s">
        <v>61</v>
      </c>
      <c r="C117" s="81"/>
      <c r="D117" s="52">
        <f>D116</f>
        <v>0</v>
      </c>
      <c r="E117" s="78"/>
      <c r="Q117" s="63"/>
      <c r="R117" s="63"/>
      <c r="S117" s="63"/>
      <c r="T117" s="63"/>
      <c r="U117" s="63"/>
      <c r="V117" s="66"/>
      <c r="W117" s="66"/>
      <c r="X117" s="63">
        <f>$D117-X116</f>
        <v>0</v>
      </c>
      <c r="Y117" s="63">
        <f t="shared" ref="Y117:AI117" si="96">IF(X117-Y116&gt;0,X117-Y116,0)</f>
        <v>0</v>
      </c>
      <c r="Z117" s="63">
        <f t="shared" si="96"/>
        <v>0</v>
      </c>
      <c r="AA117" s="63">
        <f t="shared" si="96"/>
        <v>0</v>
      </c>
      <c r="AB117" s="63">
        <f t="shared" si="96"/>
        <v>0</v>
      </c>
      <c r="AC117" s="63">
        <f t="shared" si="96"/>
        <v>0</v>
      </c>
      <c r="AD117" s="63">
        <f t="shared" si="96"/>
        <v>0</v>
      </c>
      <c r="AE117" s="63">
        <f t="shared" si="96"/>
        <v>0</v>
      </c>
      <c r="AF117" s="63">
        <f t="shared" si="96"/>
        <v>0</v>
      </c>
      <c r="AG117" s="63">
        <f t="shared" si="96"/>
        <v>0</v>
      </c>
      <c r="AH117" s="63">
        <f t="shared" si="96"/>
        <v>0</v>
      </c>
      <c r="AI117" s="79">
        <f t="shared" si="96"/>
        <v>0</v>
      </c>
    </row>
    <row r="118" spans="1:35">
      <c r="A118" s="95" t="str">
        <f>Y74</f>
        <v>Anno 21</v>
      </c>
      <c r="B118" s="80" t="str">
        <f>$B100</f>
        <v>Opere edili</v>
      </c>
      <c r="C118" s="81">
        <f>$C$76</f>
        <v>0</v>
      </c>
      <c r="D118" s="52"/>
      <c r="E118" s="78"/>
      <c r="Q118" s="64"/>
      <c r="R118" s="64"/>
      <c r="S118" s="64"/>
      <c r="T118" s="64"/>
      <c r="U118" s="64"/>
      <c r="V118" s="87"/>
      <c r="W118" s="87"/>
      <c r="X118" s="87"/>
      <c r="Y118" s="64">
        <f>IF($D118*$C118&gt;=$D119,$D119,$D118*$C118)</f>
        <v>0</v>
      </c>
      <c r="Z118" s="64">
        <f t="shared" ref="Z118:AI118" si="97">IF($D118*$C118&gt;=Y119,Y119,$D118*$C118)</f>
        <v>0</v>
      </c>
      <c r="AA118" s="64">
        <f t="shared" si="97"/>
        <v>0</v>
      </c>
      <c r="AB118" s="64">
        <f t="shared" si="97"/>
        <v>0</v>
      </c>
      <c r="AC118" s="64">
        <f t="shared" si="97"/>
        <v>0</v>
      </c>
      <c r="AD118" s="64">
        <f t="shared" si="97"/>
        <v>0</v>
      </c>
      <c r="AE118" s="64">
        <f t="shared" si="97"/>
        <v>0</v>
      </c>
      <c r="AF118" s="64">
        <f t="shared" si="97"/>
        <v>0</v>
      </c>
      <c r="AG118" s="64">
        <f t="shared" si="97"/>
        <v>0</v>
      </c>
      <c r="AH118" s="64">
        <f t="shared" si="97"/>
        <v>0</v>
      </c>
      <c r="AI118" s="86">
        <f t="shared" si="97"/>
        <v>0</v>
      </c>
    </row>
    <row r="119" spans="1:35">
      <c r="A119" s="60" t="str">
        <f>Y74</f>
        <v>Anno 21</v>
      </c>
      <c r="B119" s="59" t="s">
        <v>61</v>
      </c>
      <c r="C119" s="81"/>
      <c r="D119" s="52">
        <f>D118</f>
        <v>0</v>
      </c>
      <c r="E119" s="78"/>
      <c r="Q119" s="63"/>
      <c r="R119" s="63"/>
      <c r="S119" s="63"/>
      <c r="T119" s="63"/>
      <c r="U119" s="63"/>
      <c r="V119" s="66"/>
      <c r="W119" s="66"/>
      <c r="X119" s="66"/>
      <c r="Y119" s="63">
        <f>$D119-Y118</f>
        <v>0</v>
      </c>
      <c r="Z119" s="63">
        <f t="shared" ref="Z119:AI119" si="98">IF(Y119-Z118&gt;0,Y119-Z118,0)</f>
        <v>0</v>
      </c>
      <c r="AA119" s="63">
        <f t="shared" si="98"/>
        <v>0</v>
      </c>
      <c r="AB119" s="63">
        <f t="shared" si="98"/>
        <v>0</v>
      </c>
      <c r="AC119" s="63">
        <f t="shared" si="98"/>
        <v>0</v>
      </c>
      <c r="AD119" s="63">
        <f t="shared" si="98"/>
        <v>0</v>
      </c>
      <c r="AE119" s="63">
        <f t="shared" si="98"/>
        <v>0</v>
      </c>
      <c r="AF119" s="63">
        <f t="shared" si="98"/>
        <v>0</v>
      </c>
      <c r="AG119" s="63">
        <f t="shared" si="98"/>
        <v>0</v>
      </c>
      <c r="AH119" s="63">
        <f t="shared" si="98"/>
        <v>0</v>
      </c>
      <c r="AI119" s="79">
        <f t="shared" si="98"/>
        <v>0</v>
      </c>
    </row>
    <row r="120" spans="1:35">
      <c r="A120" s="95" t="str">
        <f>Z74</f>
        <v>Anno 22</v>
      </c>
      <c r="B120" s="80" t="str">
        <f>$B100</f>
        <v>Opere edili</v>
      </c>
      <c r="C120" s="81">
        <f>$C$76</f>
        <v>0</v>
      </c>
      <c r="D120" s="52"/>
      <c r="E120" s="78"/>
      <c r="Q120" s="64"/>
      <c r="R120" s="64"/>
      <c r="S120" s="64"/>
      <c r="T120" s="64"/>
      <c r="U120" s="64"/>
      <c r="V120" s="87"/>
      <c r="W120" s="87"/>
      <c r="X120" s="87"/>
      <c r="Y120" s="87"/>
      <c r="Z120" s="64">
        <f>IF($D120*$C120&gt;=$D121,$D121,$D120*$C120)</f>
        <v>0</v>
      </c>
      <c r="AA120" s="64">
        <f t="shared" ref="AA120:AI120" si="99">IF($D120*$C120&gt;=Z121,Z121,$D120*$C120)</f>
        <v>0</v>
      </c>
      <c r="AB120" s="64">
        <f t="shared" si="99"/>
        <v>0</v>
      </c>
      <c r="AC120" s="64">
        <f t="shared" si="99"/>
        <v>0</v>
      </c>
      <c r="AD120" s="64">
        <f t="shared" si="99"/>
        <v>0</v>
      </c>
      <c r="AE120" s="64">
        <f t="shared" si="99"/>
        <v>0</v>
      </c>
      <c r="AF120" s="64">
        <f t="shared" si="99"/>
        <v>0</v>
      </c>
      <c r="AG120" s="64">
        <f t="shared" si="99"/>
        <v>0</v>
      </c>
      <c r="AH120" s="64">
        <f t="shared" si="99"/>
        <v>0</v>
      </c>
      <c r="AI120" s="86">
        <f t="shared" si="99"/>
        <v>0</v>
      </c>
    </row>
    <row r="121" spans="1:35">
      <c r="A121" s="60" t="str">
        <f>Z74</f>
        <v>Anno 22</v>
      </c>
      <c r="B121" s="59" t="s">
        <v>61</v>
      </c>
      <c r="C121" s="81"/>
      <c r="D121" s="52">
        <f>D120</f>
        <v>0</v>
      </c>
      <c r="E121" s="78"/>
      <c r="Q121" s="63"/>
      <c r="R121" s="63"/>
      <c r="S121" s="63"/>
      <c r="T121" s="63"/>
      <c r="U121" s="63"/>
      <c r="V121" s="66"/>
      <c r="W121" s="66"/>
      <c r="X121" s="66"/>
      <c r="Y121" s="66"/>
      <c r="Z121" s="63">
        <f>$D121-Z120</f>
        <v>0</v>
      </c>
      <c r="AA121" s="63">
        <f t="shared" ref="AA121:AI121" si="100">IF(Z121-AA120&gt;0,Z121-AA120,0)</f>
        <v>0</v>
      </c>
      <c r="AB121" s="63">
        <f t="shared" si="100"/>
        <v>0</v>
      </c>
      <c r="AC121" s="63">
        <f t="shared" si="100"/>
        <v>0</v>
      </c>
      <c r="AD121" s="63">
        <f t="shared" si="100"/>
        <v>0</v>
      </c>
      <c r="AE121" s="63">
        <f t="shared" si="100"/>
        <v>0</v>
      </c>
      <c r="AF121" s="63">
        <f t="shared" si="100"/>
        <v>0</v>
      </c>
      <c r="AG121" s="63">
        <f t="shared" si="100"/>
        <v>0</v>
      </c>
      <c r="AH121" s="63">
        <f t="shared" si="100"/>
        <v>0</v>
      </c>
      <c r="AI121" s="79">
        <f t="shared" si="100"/>
        <v>0</v>
      </c>
    </row>
    <row r="122" spans="1:35">
      <c r="A122" s="95" t="str">
        <f>AA74</f>
        <v>Anno 23</v>
      </c>
      <c r="B122" s="80" t="str">
        <f>$B100</f>
        <v>Opere edili</v>
      </c>
      <c r="C122" s="81">
        <f>$C$76</f>
        <v>0</v>
      </c>
      <c r="D122" s="52"/>
      <c r="E122" s="78"/>
      <c r="Q122" s="64"/>
      <c r="R122" s="64"/>
      <c r="S122" s="64"/>
      <c r="T122" s="64"/>
      <c r="U122" s="64"/>
      <c r="V122" s="87"/>
      <c r="W122" s="87"/>
      <c r="X122" s="87"/>
      <c r="Y122" s="87"/>
      <c r="Z122" s="87"/>
      <c r="AA122" s="64">
        <f>IF($D122*$C122&gt;=$D123,$D123,$D122*$C122)</f>
        <v>0</v>
      </c>
      <c r="AB122" s="64">
        <f t="shared" ref="AB122:AI122" si="101">IF($D122*$C122&gt;=AA123,AA123,$D122*$C122)</f>
        <v>0</v>
      </c>
      <c r="AC122" s="64">
        <f t="shared" si="101"/>
        <v>0</v>
      </c>
      <c r="AD122" s="64">
        <f t="shared" si="101"/>
        <v>0</v>
      </c>
      <c r="AE122" s="64">
        <f t="shared" si="101"/>
        <v>0</v>
      </c>
      <c r="AF122" s="64">
        <f t="shared" si="101"/>
        <v>0</v>
      </c>
      <c r="AG122" s="64">
        <f t="shared" si="101"/>
        <v>0</v>
      </c>
      <c r="AH122" s="64">
        <f t="shared" si="101"/>
        <v>0</v>
      </c>
      <c r="AI122" s="86">
        <f t="shared" si="101"/>
        <v>0</v>
      </c>
    </row>
    <row r="123" spans="1:35">
      <c r="A123" s="60" t="str">
        <f>AA74</f>
        <v>Anno 23</v>
      </c>
      <c r="B123" s="59" t="s">
        <v>61</v>
      </c>
      <c r="C123" s="81"/>
      <c r="D123" s="52">
        <f>D122</f>
        <v>0</v>
      </c>
      <c r="E123" s="78"/>
      <c r="Q123" s="63"/>
      <c r="R123" s="63"/>
      <c r="S123" s="63"/>
      <c r="T123" s="63"/>
      <c r="U123" s="63"/>
      <c r="V123" s="66"/>
      <c r="W123" s="66"/>
      <c r="X123" s="66"/>
      <c r="Y123" s="66"/>
      <c r="Z123" s="66"/>
      <c r="AA123" s="63">
        <f>$D123-AA122</f>
        <v>0</v>
      </c>
      <c r="AB123" s="63">
        <f t="shared" ref="AB123:AI123" si="102">IF(AA123-AB122&gt;0,AA123-AB122,0)</f>
        <v>0</v>
      </c>
      <c r="AC123" s="63">
        <f t="shared" si="102"/>
        <v>0</v>
      </c>
      <c r="AD123" s="63">
        <f t="shared" si="102"/>
        <v>0</v>
      </c>
      <c r="AE123" s="63">
        <f t="shared" si="102"/>
        <v>0</v>
      </c>
      <c r="AF123" s="63">
        <f t="shared" si="102"/>
        <v>0</v>
      </c>
      <c r="AG123" s="63">
        <f t="shared" si="102"/>
        <v>0</v>
      </c>
      <c r="AH123" s="63">
        <f t="shared" si="102"/>
        <v>0</v>
      </c>
      <c r="AI123" s="79">
        <f t="shared" si="102"/>
        <v>0</v>
      </c>
    </row>
    <row r="124" spans="1:35">
      <c r="A124" s="95" t="str">
        <f>AB74</f>
        <v>Anno 24</v>
      </c>
      <c r="B124" s="80" t="str">
        <f>$B100</f>
        <v>Opere edili</v>
      </c>
      <c r="C124" s="81">
        <f>$C$76</f>
        <v>0</v>
      </c>
      <c r="D124" s="52"/>
      <c r="E124" s="78"/>
      <c r="Q124" s="64"/>
      <c r="R124" s="64"/>
      <c r="S124" s="64"/>
      <c r="T124" s="64"/>
      <c r="U124" s="64"/>
      <c r="V124" s="87"/>
      <c r="W124" s="87"/>
      <c r="X124" s="87"/>
      <c r="Y124" s="87"/>
      <c r="Z124" s="87"/>
      <c r="AA124" s="87"/>
      <c r="AB124" s="64">
        <f>IF($D124*$C124&gt;=$D125,$D125,$D124*$C124)</f>
        <v>0</v>
      </c>
      <c r="AC124" s="64">
        <f t="shared" ref="AC124:AI124" si="103">IF($D124*$C124&gt;=AB125,AB125,$D124*$C124)</f>
        <v>0</v>
      </c>
      <c r="AD124" s="64">
        <f t="shared" si="103"/>
        <v>0</v>
      </c>
      <c r="AE124" s="64">
        <f t="shared" si="103"/>
        <v>0</v>
      </c>
      <c r="AF124" s="64">
        <f t="shared" si="103"/>
        <v>0</v>
      </c>
      <c r="AG124" s="64">
        <f t="shared" si="103"/>
        <v>0</v>
      </c>
      <c r="AH124" s="64">
        <f t="shared" si="103"/>
        <v>0</v>
      </c>
      <c r="AI124" s="86">
        <f t="shared" si="103"/>
        <v>0</v>
      </c>
    </row>
    <row r="125" spans="1:35">
      <c r="A125" s="60" t="str">
        <f>AB74</f>
        <v>Anno 24</v>
      </c>
      <c r="B125" s="59" t="s">
        <v>61</v>
      </c>
      <c r="C125" s="88"/>
      <c r="D125" s="52">
        <f>D124</f>
        <v>0</v>
      </c>
      <c r="E125" s="78"/>
      <c r="Q125" s="63"/>
      <c r="R125" s="63"/>
      <c r="S125" s="63"/>
      <c r="T125" s="63"/>
      <c r="U125" s="63"/>
      <c r="V125" s="66"/>
      <c r="W125" s="66"/>
      <c r="X125" s="66"/>
      <c r="Y125" s="66"/>
      <c r="Z125" s="66"/>
      <c r="AA125" s="66"/>
      <c r="AB125" s="63">
        <f>$D125-AB124</f>
        <v>0</v>
      </c>
      <c r="AC125" s="63">
        <f t="shared" ref="AC125:AI125" si="104">IF(AB125-AC124&gt;0,AB125-AC124,0)</f>
        <v>0</v>
      </c>
      <c r="AD125" s="63">
        <f t="shared" si="104"/>
        <v>0</v>
      </c>
      <c r="AE125" s="63">
        <f t="shared" si="104"/>
        <v>0</v>
      </c>
      <c r="AF125" s="63">
        <f t="shared" si="104"/>
        <v>0</v>
      </c>
      <c r="AG125" s="63">
        <f t="shared" si="104"/>
        <v>0</v>
      </c>
      <c r="AH125" s="63">
        <f t="shared" si="104"/>
        <v>0</v>
      </c>
      <c r="AI125" s="79">
        <f t="shared" si="104"/>
        <v>0</v>
      </c>
    </row>
    <row r="126" spans="1:35">
      <c r="A126" s="95" t="str">
        <f>AC74</f>
        <v>Anno 25</v>
      </c>
      <c r="B126" s="80" t="str">
        <f>$B124</f>
        <v>Opere edili</v>
      </c>
      <c r="C126" s="81">
        <f>$C$76</f>
        <v>0</v>
      </c>
      <c r="D126" s="52"/>
      <c r="E126" s="78"/>
      <c r="AC126" s="64">
        <f>IF($D126*$C126&gt;=$D127,$D127,$D126*$C126)</f>
        <v>0</v>
      </c>
      <c r="AD126" s="64">
        <f t="shared" ref="AD126:AI126" si="105">IF($D126*$C126&gt;=AC127,AC127,$D126*$C126)</f>
        <v>0</v>
      </c>
      <c r="AE126" s="64">
        <f t="shared" si="105"/>
        <v>0</v>
      </c>
      <c r="AF126" s="64">
        <f t="shared" si="105"/>
        <v>0</v>
      </c>
      <c r="AG126" s="64">
        <f t="shared" si="105"/>
        <v>0</v>
      </c>
      <c r="AH126" s="64">
        <f t="shared" si="105"/>
        <v>0</v>
      </c>
      <c r="AI126" s="86">
        <f t="shared" si="105"/>
        <v>0</v>
      </c>
    </row>
    <row r="127" spans="1:35">
      <c r="A127" s="60" t="str">
        <f>AC74</f>
        <v>Anno 25</v>
      </c>
      <c r="B127" s="59" t="s">
        <v>61</v>
      </c>
      <c r="C127" s="81"/>
      <c r="D127" s="52">
        <f>D126</f>
        <v>0</v>
      </c>
      <c r="E127" s="78"/>
      <c r="AC127" s="63">
        <f>$D127-AC126</f>
        <v>0</v>
      </c>
      <c r="AD127" s="63">
        <f t="shared" ref="AD127:AI127" si="106">IF(AC127-AD126&gt;0,AC127-AD126,0)</f>
        <v>0</v>
      </c>
      <c r="AE127" s="63">
        <f t="shared" si="106"/>
        <v>0</v>
      </c>
      <c r="AF127" s="63">
        <f t="shared" si="106"/>
        <v>0</v>
      </c>
      <c r="AG127" s="63">
        <f t="shared" si="106"/>
        <v>0</v>
      </c>
      <c r="AH127" s="63">
        <f t="shared" si="106"/>
        <v>0</v>
      </c>
      <c r="AI127" s="79">
        <f t="shared" si="106"/>
        <v>0</v>
      </c>
    </row>
    <row r="128" spans="1:35">
      <c r="A128" s="95" t="str">
        <f>AD74</f>
        <v>Anno 26</v>
      </c>
      <c r="B128" s="80" t="str">
        <f>$B124</f>
        <v>Opere edili</v>
      </c>
      <c r="C128" s="81">
        <f>$C$76</f>
        <v>0</v>
      </c>
      <c r="D128" s="52"/>
      <c r="E128" s="78"/>
      <c r="AC128" s="64"/>
      <c r="AD128" s="64">
        <f>IF($D128*$C128&gt;=$D129,$D129,$D128*$C128)</f>
        <v>0</v>
      </c>
      <c r="AE128" s="64">
        <f>IF($D128*$C128&gt;=AD129,AD129,$D128*$C128)</f>
        <v>0</v>
      </c>
      <c r="AF128" s="64">
        <f>IF($D128*$C128&gt;=AE129,AE129,$D128*$C128)</f>
        <v>0</v>
      </c>
      <c r="AG128" s="64">
        <f>IF($D128*$C128&gt;=AF129,AF129,$D128*$C128)</f>
        <v>0</v>
      </c>
      <c r="AH128" s="64">
        <f>IF($D128*$C128&gt;=AG129,AG129,$D128*$C128)</f>
        <v>0</v>
      </c>
      <c r="AI128" s="86">
        <f>IF($D128*$C128&gt;=AH129,AH129,$D128*$C128)</f>
        <v>0</v>
      </c>
    </row>
    <row r="129" spans="1:36">
      <c r="A129" s="60" t="str">
        <f>AD74</f>
        <v>Anno 26</v>
      </c>
      <c r="B129" s="59" t="s">
        <v>61</v>
      </c>
      <c r="C129" s="81"/>
      <c r="D129" s="52">
        <f>D128</f>
        <v>0</v>
      </c>
      <c r="E129" s="78"/>
      <c r="AC129" s="63"/>
      <c r="AD129" s="63">
        <f>$D129-AD128</f>
        <v>0</v>
      </c>
      <c r="AE129" s="63">
        <f>IF(AD129-AE128&gt;0,AD129-AE128,0)</f>
        <v>0</v>
      </c>
      <c r="AF129" s="63">
        <f>IF(AE129-AF128&gt;0,AE129-AF128,0)</f>
        <v>0</v>
      </c>
      <c r="AG129" s="63">
        <f>IF(AF129-AG128&gt;0,AF129-AG128,0)</f>
        <v>0</v>
      </c>
      <c r="AH129" s="63">
        <f>IF(AG129-AH128&gt;0,AG129-AH128,0)</f>
        <v>0</v>
      </c>
      <c r="AI129" s="79">
        <f>IF(AH129-AI128&gt;0,AH129-AI128,0)</f>
        <v>0</v>
      </c>
    </row>
    <row r="130" spans="1:36">
      <c r="A130" s="95" t="str">
        <f>AE74</f>
        <v>Anno 27</v>
      </c>
      <c r="B130" s="80" t="str">
        <f>$B124</f>
        <v>Opere edili</v>
      </c>
      <c r="C130" s="81">
        <f>$C$76</f>
        <v>0</v>
      </c>
      <c r="D130" s="52"/>
      <c r="E130" s="78"/>
      <c r="AC130" s="64"/>
      <c r="AD130" s="64"/>
      <c r="AE130" s="64">
        <f>IF($D130*$C130&gt;=$D131,$D131,$D130*$C130)</f>
        <v>0</v>
      </c>
      <c r="AF130" s="64">
        <f>IF($D130*$C130&gt;=AE131,AE131,$D130*$C130)</f>
        <v>0</v>
      </c>
      <c r="AG130" s="64">
        <f>IF($D130*$C130&gt;=AF131,AF131,$D130*$C130)</f>
        <v>0</v>
      </c>
      <c r="AH130" s="64">
        <f>IF($D130*$C130&gt;=AG131,AG131,$D130*$C130)</f>
        <v>0</v>
      </c>
      <c r="AI130" s="86">
        <f>IF($D130*$C130&gt;=AH131,AH131,$D130*$C130)</f>
        <v>0</v>
      </c>
    </row>
    <row r="131" spans="1:36">
      <c r="A131" s="60" t="str">
        <f>AE74</f>
        <v>Anno 27</v>
      </c>
      <c r="B131" s="59" t="s">
        <v>61</v>
      </c>
      <c r="C131" s="81"/>
      <c r="D131" s="52">
        <f>D130</f>
        <v>0</v>
      </c>
      <c r="E131" s="78"/>
      <c r="AC131" s="63"/>
      <c r="AD131" s="63"/>
      <c r="AE131" s="63">
        <f>$D131-AE130</f>
        <v>0</v>
      </c>
      <c r="AF131" s="63">
        <f>IF(AE131-AF130&gt;0,AE131-AF130,0)</f>
        <v>0</v>
      </c>
      <c r="AG131" s="63">
        <f>IF(AF131-AG130&gt;0,AF131-AG130,0)</f>
        <v>0</v>
      </c>
      <c r="AH131" s="63">
        <f>IF(AG131-AH130&gt;0,AG131-AH130,0)</f>
        <v>0</v>
      </c>
      <c r="AI131" s="79">
        <f>IF(AH131-AI130&gt;0,AH131-AI130,0)</f>
        <v>0</v>
      </c>
    </row>
    <row r="132" spans="1:36">
      <c r="A132" s="95" t="str">
        <f>AF74</f>
        <v>Anno 28</v>
      </c>
      <c r="B132" s="80" t="str">
        <f>$B124</f>
        <v>Opere edili</v>
      </c>
      <c r="C132" s="81">
        <f>$C$76</f>
        <v>0</v>
      </c>
      <c r="D132" s="52"/>
      <c r="E132" s="78"/>
      <c r="AC132" s="64"/>
      <c r="AD132" s="64"/>
      <c r="AE132" s="64"/>
      <c r="AF132" s="64">
        <f>IF($D132*$C132&gt;=$D133,$D133,$D132*$C132)</f>
        <v>0</v>
      </c>
      <c r="AG132" s="64">
        <f>IF($D132*$C132&gt;=AF133,AF133,$D132*$C132)</f>
        <v>0</v>
      </c>
      <c r="AH132" s="64">
        <f>IF($D132*$C132&gt;=AG133,AG133,$D132*$C132)</f>
        <v>0</v>
      </c>
      <c r="AI132" s="86">
        <f>IF($D132*$C132&gt;=AH133,AH133,$D132*$C132)</f>
        <v>0</v>
      </c>
    </row>
    <row r="133" spans="1:36">
      <c r="A133" s="60" t="str">
        <f>AF74</f>
        <v>Anno 28</v>
      </c>
      <c r="B133" s="59" t="s">
        <v>61</v>
      </c>
      <c r="C133" s="81"/>
      <c r="D133" s="52">
        <f>D132</f>
        <v>0</v>
      </c>
      <c r="E133" s="78"/>
      <c r="AC133" s="63"/>
      <c r="AD133" s="63"/>
      <c r="AE133" s="63"/>
      <c r="AF133" s="63">
        <f>$D133-AF132</f>
        <v>0</v>
      </c>
      <c r="AG133" s="63">
        <f>IF(AF133-AG132&gt;0,AF133-AG132,0)</f>
        <v>0</v>
      </c>
      <c r="AH133" s="63">
        <f>IF(AG133-AH132&gt;0,AG133-AH132,0)</f>
        <v>0</v>
      </c>
      <c r="AI133" s="79">
        <f>IF(AH133-AI132&gt;0,AH133-AI132,0)</f>
        <v>0</v>
      </c>
    </row>
    <row r="134" spans="1:36">
      <c r="A134" s="95" t="str">
        <f>AG74</f>
        <v>Anno 29</v>
      </c>
      <c r="B134" s="80" t="str">
        <f>$B124</f>
        <v>Opere edili</v>
      </c>
      <c r="C134" s="81">
        <f>$C$76</f>
        <v>0</v>
      </c>
      <c r="D134" s="52"/>
      <c r="E134" s="78"/>
      <c r="AC134" s="64"/>
      <c r="AD134" s="64"/>
      <c r="AE134" s="64"/>
      <c r="AF134" s="64"/>
      <c r="AG134" s="64">
        <f>IF($D134*$C134&gt;=$D135,$D135,$D134*$C134)</f>
        <v>0</v>
      </c>
      <c r="AH134" s="64">
        <f>IF($D134*$C134&gt;=AG135,AG135,$D134*$C134)</f>
        <v>0</v>
      </c>
      <c r="AI134" s="86">
        <f>IF($D134*$C134&gt;=AH135,AH135,$D134*$C134)</f>
        <v>0</v>
      </c>
    </row>
    <row r="135" spans="1:36">
      <c r="A135" s="60" t="str">
        <f>AG74</f>
        <v>Anno 29</v>
      </c>
      <c r="B135" s="59" t="s">
        <v>61</v>
      </c>
      <c r="C135" s="81"/>
      <c r="D135" s="52">
        <f>D134</f>
        <v>0</v>
      </c>
      <c r="E135" s="78"/>
      <c r="AC135" s="63"/>
      <c r="AD135" s="63"/>
      <c r="AE135" s="63"/>
      <c r="AF135" s="63"/>
      <c r="AG135" s="63">
        <f>$D135-AG134</f>
        <v>0</v>
      </c>
      <c r="AH135" s="63">
        <f>IF(AG135-AH134&gt;0,AG135-AH134,0)</f>
        <v>0</v>
      </c>
      <c r="AI135" s="79">
        <f>IF(AH135-AI134&gt;0,AH135-AI134,0)</f>
        <v>0</v>
      </c>
    </row>
    <row r="136" spans="1:36">
      <c r="A136" s="95" t="str">
        <f>AH74</f>
        <v>Anno 30</v>
      </c>
      <c r="B136" s="80" t="str">
        <f>$B124</f>
        <v>Opere edili</v>
      </c>
      <c r="C136" s="81">
        <f>$C$76</f>
        <v>0</v>
      </c>
      <c r="D136" s="52"/>
      <c r="E136" s="78"/>
      <c r="AC136" s="64"/>
      <c r="AD136" s="64"/>
      <c r="AE136" s="64"/>
      <c r="AF136" s="64"/>
      <c r="AG136" s="64"/>
      <c r="AH136" s="64">
        <f>IF($D136*$C136&gt;=$D137,$D137,$D136*$C136)</f>
        <v>0</v>
      </c>
      <c r="AI136" s="86">
        <f>IF($D136*$C136&gt;=AH137,AH137,$D136*$C136)</f>
        <v>0</v>
      </c>
    </row>
    <row r="137" spans="1:36">
      <c r="A137" s="60" t="str">
        <f>AH74</f>
        <v>Anno 30</v>
      </c>
      <c r="B137" s="59" t="s">
        <v>61</v>
      </c>
      <c r="C137" s="81"/>
      <c r="D137" s="52">
        <f>D136</f>
        <v>0</v>
      </c>
      <c r="E137" s="78"/>
      <c r="AC137" s="63"/>
      <c r="AD137" s="63"/>
      <c r="AE137" s="63"/>
      <c r="AF137" s="63"/>
      <c r="AG137" s="63"/>
      <c r="AH137" s="63">
        <f>$D137-AH136</f>
        <v>0</v>
      </c>
      <c r="AI137" s="79">
        <f>IF(AH137-AI136&gt;0,AH137-AI136,0)</f>
        <v>0</v>
      </c>
    </row>
    <row r="138" spans="1:36">
      <c r="A138" s="95" t="str">
        <f>AI74</f>
        <v>Anno 31</v>
      </c>
      <c r="B138" s="80" t="str">
        <f>$B124</f>
        <v>Opere edili</v>
      </c>
      <c r="C138" s="81">
        <f>$C$76</f>
        <v>0</v>
      </c>
      <c r="D138" s="52"/>
      <c r="E138" s="78"/>
      <c r="AC138" s="64"/>
      <c r="AD138" s="64"/>
      <c r="AE138" s="64"/>
      <c r="AF138" s="64"/>
      <c r="AG138" s="64"/>
      <c r="AH138" s="87"/>
      <c r="AI138" s="86">
        <f>IF($D138*$C138&gt;=$D139,$D139,$D138*$C138)</f>
        <v>0</v>
      </c>
    </row>
    <row r="139" spans="1:36">
      <c r="A139" s="60" t="str">
        <f>AI74</f>
        <v>Anno 31</v>
      </c>
      <c r="B139" s="59" t="s">
        <v>61</v>
      </c>
      <c r="C139" s="81"/>
      <c r="D139" s="52">
        <f>D138</f>
        <v>0</v>
      </c>
      <c r="E139" s="89"/>
      <c r="F139" s="90"/>
      <c r="G139" s="90"/>
      <c r="H139" s="90"/>
      <c r="I139" s="90"/>
      <c r="J139" s="91"/>
      <c r="K139" s="91"/>
      <c r="L139" s="91"/>
      <c r="M139" s="91"/>
      <c r="N139" s="91"/>
      <c r="O139" s="91"/>
      <c r="P139" s="91"/>
      <c r="Q139" s="92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0"/>
      <c r="AD139" s="90"/>
      <c r="AE139" s="90"/>
      <c r="AF139" s="90"/>
      <c r="AG139" s="90"/>
      <c r="AH139" s="91"/>
      <c r="AI139" s="94">
        <f>$D139-AI138</f>
        <v>0</v>
      </c>
    </row>
    <row r="140" spans="1:36" s="80" customFormat="1">
      <c r="A140" s="95"/>
      <c r="B140" s="96" t="s">
        <v>66</v>
      </c>
      <c r="C140" s="97"/>
      <c r="D140" s="54"/>
      <c r="E140" s="98">
        <f t="shared" ref="E140:AI141" si="107">E76+E78+E80+E82+E84+E86+E88+E90+E92+E94+E96+E98+E100+E102+E104+E106+E108+E110+E112+E114+E116+E118+E120+E122+E124+E126+E128+E130+E132+E134+E136+E138</f>
        <v>0</v>
      </c>
      <c r="F140" s="98">
        <f t="shared" si="107"/>
        <v>0</v>
      </c>
      <c r="G140" s="98">
        <f t="shared" si="107"/>
        <v>0</v>
      </c>
      <c r="H140" s="98">
        <f t="shared" si="107"/>
        <v>0</v>
      </c>
      <c r="I140" s="98">
        <f t="shared" si="107"/>
        <v>0</v>
      </c>
      <c r="J140" s="98">
        <f t="shared" si="107"/>
        <v>0</v>
      </c>
      <c r="K140" s="98">
        <f t="shared" si="107"/>
        <v>0</v>
      </c>
      <c r="L140" s="98">
        <f t="shared" si="107"/>
        <v>0</v>
      </c>
      <c r="M140" s="98">
        <f t="shared" si="107"/>
        <v>0</v>
      </c>
      <c r="N140" s="98">
        <f t="shared" si="107"/>
        <v>0</v>
      </c>
      <c r="O140" s="98">
        <f t="shared" si="107"/>
        <v>0</v>
      </c>
      <c r="P140" s="98">
        <f t="shared" si="107"/>
        <v>0</v>
      </c>
      <c r="Q140" s="98">
        <f t="shared" si="107"/>
        <v>0</v>
      </c>
      <c r="R140" s="98">
        <f t="shared" si="107"/>
        <v>0</v>
      </c>
      <c r="S140" s="98">
        <f t="shared" si="107"/>
        <v>0</v>
      </c>
      <c r="T140" s="98">
        <f t="shared" si="107"/>
        <v>0</v>
      </c>
      <c r="U140" s="98">
        <f t="shared" si="107"/>
        <v>0</v>
      </c>
      <c r="V140" s="98">
        <f t="shared" si="107"/>
        <v>0</v>
      </c>
      <c r="W140" s="98">
        <f t="shared" si="107"/>
        <v>0</v>
      </c>
      <c r="X140" s="98">
        <f t="shared" si="107"/>
        <v>0</v>
      </c>
      <c r="Y140" s="98">
        <f t="shared" si="107"/>
        <v>0</v>
      </c>
      <c r="Z140" s="98">
        <f t="shared" si="107"/>
        <v>0</v>
      </c>
      <c r="AA140" s="98">
        <f t="shared" si="107"/>
        <v>0</v>
      </c>
      <c r="AB140" s="98">
        <f t="shared" si="107"/>
        <v>0</v>
      </c>
      <c r="AC140" s="98">
        <f t="shared" si="107"/>
        <v>0</v>
      </c>
      <c r="AD140" s="98">
        <f t="shared" si="107"/>
        <v>0</v>
      </c>
      <c r="AE140" s="98">
        <f t="shared" si="107"/>
        <v>0</v>
      </c>
      <c r="AF140" s="98">
        <f t="shared" si="107"/>
        <v>0</v>
      </c>
      <c r="AG140" s="98">
        <f t="shared" si="107"/>
        <v>0</v>
      </c>
      <c r="AH140" s="98">
        <f t="shared" si="107"/>
        <v>0</v>
      </c>
      <c r="AI140" s="99">
        <f t="shared" si="107"/>
        <v>0</v>
      </c>
      <c r="AJ140" s="64">
        <f>SUM(E140:AI140)</f>
        <v>0</v>
      </c>
    </row>
    <row r="141" spans="1:36">
      <c r="B141" s="100" t="s">
        <v>67</v>
      </c>
      <c r="C141" s="101"/>
      <c r="D141" s="55"/>
      <c r="E141" s="89">
        <f t="shared" si="107"/>
        <v>0</v>
      </c>
      <c r="F141" s="89">
        <f t="shared" si="107"/>
        <v>0</v>
      </c>
      <c r="G141" s="89">
        <f t="shared" si="107"/>
        <v>0</v>
      </c>
      <c r="H141" s="89">
        <f t="shared" si="107"/>
        <v>0</v>
      </c>
      <c r="I141" s="89">
        <f t="shared" si="107"/>
        <v>0</v>
      </c>
      <c r="J141" s="89">
        <f t="shared" si="107"/>
        <v>0</v>
      </c>
      <c r="K141" s="89">
        <f t="shared" si="107"/>
        <v>0</v>
      </c>
      <c r="L141" s="89">
        <f t="shared" si="107"/>
        <v>0</v>
      </c>
      <c r="M141" s="89">
        <f t="shared" si="107"/>
        <v>0</v>
      </c>
      <c r="N141" s="89">
        <f t="shared" si="107"/>
        <v>0</v>
      </c>
      <c r="O141" s="89">
        <f t="shared" si="107"/>
        <v>0</v>
      </c>
      <c r="P141" s="89">
        <f t="shared" si="107"/>
        <v>0</v>
      </c>
      <c r="Q141" s="89">
        <f t="shared" si="107"/>
        <v>0</v>
      </c>
      <c r="R141" s="89">
        <f t="shared" si="107"/>
        <v>0</v>
      </c>
      <c r="S141" s="89">
        <f t="shared" si="107"/>
        <v>0</v>
      </c>
      <c r="T141" s="89">
        <f t="shared" si="107"/>
        <v>0</v>
      </c>
      <c r="U141" s="89">
        <f t="shared" si="107"/>
        <v>0</v>
      </c>
      <c r="V141" s="89">
        <f t="shared" si="107"/>
        <v>0</v>
      </c>
      <c r="W141" s="89">
        <f t="shared" si="107"/>
        <v>0</v>
      </c>
      <c r="X141" s="89">
        <f t="shared" si="107"/>
        <v>0</v>
      </c>
      <c r="Y141" s="89">
        <f t="shared" si="107"/>
        <v>0</v>
      </c>
      <c r="Z141" s="89">
        <f t="shared" si="107"/>
        <v>0</v>
      </c>
      <c r="AA141" s="89">
        <f t="shared" si="107"/>
        <v>0</v>
      </c>
      <c r="AB141" s="89">
        <f t="shared" si="107"/>
        <v>0</v>
      </c>
      <c r="AC141" s="89">
        <f t="shared" si="107"/>
        <v>0</v>
      </c>
      <c r="AD141" s="89">
        <f t="shared" si="107"/>
        <v>0</v>
      </c>
      <c r="AE141" s="89">
        <f t="shared" si="107"/>
        <v>0</v>
      </c>
      <c r="AF141" s="89">
        <f t="shared" si="107"/>
        <v>0</v>
      </c>
      <c r="AG141" s="89">
        <f t="shared" si="107"/>
        <v>0</v>
      </c>
      <c r="AH141" s="89">
        <f t="shared" si="107"/>
        <v>0</v>
      </c>
      <c r="AI141" s="102">
        <f t="shared" si="107"/>
        <v>0</v>
      </c>
    </row>
    <row r="142" spans="1:36" s="80" customFormat="1">
      <c r="A142" s="95"/>
      <c r="B142" s="96" t="s">
        <v>70</v>
      </c>
      <c r="C142" s="97"/>
      <c r="D142" s="56"/>
      <c r="E142" s="103">
        <f>D78</f>
        <v>0</v>
      </c>
      <c r="F142" s="103">
        <f>D80</f>
        <v>0</v>
      </c>
      <c r="G142" s="103">
        <f>D82</f>
        <v>0</v>
      </c>
      <c r="H142" s="103">
        <f>D84</f>
        <v>0</v>
      </c>
      <c r="I142" s="103">
        <f>D86</f>
        <v>0</v>
      </c>
      <c r="J142" s="104">
        <f>$D88</f>
        <v>0</v>
      </c>
      <c r="K142" s="104">
        <f>$D90</f>
        <v>0</v>
      </c>
      <c r="L142" s="104">
        <f>$D92</f>
        <v>0</v>
      </c>
      <c r="M142" s="104">
        <f>$D94</f>
        <v>0</v>
      </c>
      <c r="N142" s="104">
        <f>$D96</f>
        <v>0</v>
      </c>
      <c r="O142" s="104">
        <f>$D98</f>
        <v>0</v>
      </c>
      <c r="P142" s="104">
        <f>$D100</f>
        <v>0</v>
      </c>
      <c r="Q142" s="104">
        <f>$D102</f>
        <v>0</v>
      </c>
      <c r="R142" s="104">
        <f>$D104</f>
        <v>0</v>
      </c>
      <c r="S142" s="104">
        <f>$D106</f>
        <v>0</v>
      </c>
      <c r="T142" s="104">
        <f>$D108</f>
        <v>0</v>
      </c>
      <c r="U142" s="104">
        <f>$D110</f>
        <v>0</v>
      </c>
      <c r="V142" s="104">
        <f>$D112</f>
        <v>0</v>
      </c>
      <c r="W142" s="104">
        <f>$D114</f>
        <v>0</v>
      </c>
      <c r="X142" s="104">
        <f>$D116</f>
        <v>0</v>
      </c>
      <c r="Y142" s="104">
        <f>$D118</f>
        <v>0</v>
      </c>
      <c r="Z142" s="104">
        <f>$D120</f>
        <v>0</v>
      </c>
      <c r="AA142" s="104">
        <f>$D122</f>
        <v>0</v>
      </c>
      <c r="AB142" s="104">
        <f>$D124</f>
        <v>0</v>
      </c>
      <c r="AC142" s="104">
        <f>$D126</f>
        <v>0</v>
      </c>
      <c r="AD142" s="104">
        <f>$D128</f>
        <v>0</v>
      </c>
      <c r="AE142" s="104">
        <f>$D130</f>
        <v>0</v>
      </c>
      <c r="AF142" s="104">
        <f>$D132</f>
        <v>0</v>
      </c>
      <c r="AG142" s="104">
        <f>$D134</f>
        <v>0</v>
      </c>
      <c r="AH142" s="104">
        <f>$D136</f>
        <v>0</v>
      </c>
      <c r="AI142" s="104">
        <f>$D138</f>
        <v>0</v>
      </c>
      <c r="AJ142" s="64">
        <f>SUM(E142:AI142)</f>
        <v>0</v>
      </c>
    </row>
    <row r="143" spans="1:36">
      <c r="B143" s="105" t="s">
        <v>71</v>
      </c>
      <c r="C143" s="106"/>
      <c r="D143" s="57"/>
      <c r="E143" s="107">
        <f>E142</f>
        <v>0</v>
      </c>
      <c r="F143" s="107">
        <f t="shared" ref="F143:AI143" si="108">E143+F142</f>
        <v>0</v>
      </c>
      <c r="G143" s="107">
        <f t="shared" si="108"/>
        <v>0</v>
      </c>
      <c r="H143" s="107">
        <f t="shared" si="108"/>
        <v>0</v>
      </c>
      <c r="I143" s="107">
        <f t="shared" si="108"/>
        <v>0</v>
      </c>
      <c r="J143" s="107">
        <f t="shared" si="108"/>
        <v>0</v>
      </c>
      <c r="K143" s="107">
        <f t="shared" si="108"/>
        <v>0</v>
      </c>
      <c r="L143" s="107">
        <f t="shared" si="108"/>
        <v>0</v>
      </c>
      <c r="M143" s="107">
        <f t="shared" si="108"/>
        <v>0</v>
      </c>
      <c r="N143" s="107">
        <f t="shared" si="108"/>
        <v>0</v>
      </c>
      <c r="O143" s="107">
        <f t="shared" si="108"/>
        <v>0</v>
      </c>
      <c r="P143" s="107">
        <f t="shared" si="108"/>
        <v>0</v>
      </c>
      <c r="Q143" s="107">
        <f t="shared" si="108"/>
        <v>0</v>
      </c>
      <c r="R143" s="107">
        <f t="shared" si="108"/>
        <v>0</v>
      </c>
      <c r="S143" s="107">
        <f t="shared" si="108"/>
        <v>0</v>
      </c>
      <c r="T143" s="107">
        <f t="shared" si="108"/>
        <v>0</v>
      </c>
      <c r="U143" s="107">
        <f t="shared" si="108"/>
        <v>0</v>
      </c>
      <c r="V143" s="107">
        <f t="shared" si="108"/>
        <v>0</v>
      </c>
      <c r="W143" s="107">
        <f t="shared" si="108"/>
        <v>0</v>
      </c>
      <c r="X143" s="107">
        <f t="shared" si="108"/>
        <v>0</v>
      </c>
      <c r="Y143" s="107">
        <f t="shared" si="108"/>
        <v>0</v>
      </c>
      <c r="Z143" s="107">
        <f t="shared" si="108"/>
        <v>0</v>
      </c>
      <c r="AA143" s="107">
        <f t="shared" si="108"/>
        <v>0</v>
      </c>
      <c r="AB143" s="107">
        <f t="shared" si="108"/>
        <v>0</v>
      </c>
      <c r="AC143" s="107">
        <f t="shared" si="108"/>
        <v>0</v>
      </c>
      <c r="AD143" s="107">
        <f t="shared" si="108"/>
        <v>0</v>
      </c>
      <c r="AE143" s="107">
        <f t="shared" si="108"/>
        <v>0</v>
      </c>
      <c r="AF143" s="107">
        <f t="shared" si="108"/>
        <v>0</v>
      </c>
      <c r="AG143" s="107">
        <f t="shared" si="108"/>
        <v>0</v>
      </c>
      <c r="AH143" s="107">
        <f t="shared" si="108"/>
        <v>0</v>
      </c>
      <c r="AI143" s="107">
        <f t="shared" si="108"/>
        <v>0</v>
      </c>
    </row>
    <row r="145" spans="1:160" ht="30">
      <c r="A145" s="68"/>
      <c r="B145" s="69" t="s">
        <v>143</v>
      </c>
      <c r="C145" s="49" t="s">
        <v>64</v>
      </c>
      <c r="D145" s="50" t="s">
        <v>65</v>
      </c>
      <c r="E145" s="51" t="str">
        <f>E3</f>
        <v>Anno 1</v>
      </c>
      <c r="F145" s="51" t="str">
        <f t="shared" ref="F145:AI145" si="109">F3</f>
        <v>Anno 2</v>
      </c>
      <c r="G145" s="51" t="str">
        <f t="shared" si="109"/>
        <v>Anno 3</v>
      </c>
      <c r="H145" s="51" t="str">
        <f t="shared" si="109"/>
        <v>Anno 4</v>
      </c>
      <c r="I145" s="51" t="str">
        <f t="shared" si="109"/>
        <v>Anno 5</v>
      </c>
      <c r="J145" s="51" t="str">
        <f t="shared" si="109"/>
        <v>Anno 6</v>
      </c>
      <c r="K145" s="51" t="str">
        <f t="shared" si="109"/>
        <v>Anno 7</v>
      </c>
      <c r="L145" s="51" t="str">
        <f t="shared" si="109"/>
        <v>Anno 8</v>
      </c>
      <c r="M145" s="51" t="str">
        <f t="shared" si="109"/>
        <v>Anno 9</v>
      </c>
      <c r="N145" s="51" t="str">
        <f t="shared" si="109"/>
        <v>Anno 10</v>
      </c>
      <c r="O145" s="51" t="str">
        <f t="shared" si="109"/>
        <v>Anno 11</v>
      </c>
      <c r="P145" s="51" t="str">
        <f t="shared" si="109"/>
        <v>Anno 12</v>
      </c>
      <c r="Q145" s="51" t="str">
        <f t="shared" si="109"/>
        <v>Anno 13</v>
      </c>
      <c r="R145" s="51" t="str">
        <f t="shared" si="109"/>
        <v>Anno 14</v>
      </c>
      <c r="S145" s="51" t="str">
        <f t="shared" si="109"/>
        <v>Anno 15</v>
      </c>
      <c r="T145" s="51" t="str">
        <f t="shared" si="109"/>
        <v>Anno 16</v>
      </c>
      <c r="U145" s="51" t="str">
        <f t="shared" si="109"/>
        <v>Anno 17</v>
      </c>
      <c r="V145" s="51" t="str">
        <f t="shared" si="109"/>
        <v>Anno 18</v>
      </c>
      <c r="W145" s="51" t="str">
        <f t="shared" si="109"/>
        <v>Anno 19</v>
      </c>
      <c r="X145" s="51" t="str">
        <f t="shared" si="109"/>
        <v>Anno 20</v>
      </c>
      <c r="Y145" s="51" t="str">
        <f t="shared" si="109"/>
        <v>Anno 21</v>
      </c>
      <c r="Z145" s="51" t="str">
        <f t="shared" si="109"/>
        <v>Anno 22</v>
      </c>
      <c r="AA145" s="51" t="str">
        <f t="shared" si="109"/>
        <v>Anno 23</v>
      </c>
      <c r="AB145" s="51" t="str">
        <f t="shared" si="109"/>
        <v>Anno 24</v>
      </c>
      <c r="AC145" s="51" t="str">
        <f t="shared" si="109"/>
        <v>Anno 25</v>
      </c>
      <c r="AD145" s="51" t="str">
        <f t="shared" si="109"/>
        <v>Anno 26</v>
      </c>
      <c r="AE145" s="51" t="str">
        <f t="shared" si="109"/>
        <v>Anno 27</v>
      </c>
      <c r="AF145" s="51" t="str">
        <f t="shared" si="109"/>
        <v>Anno 28</v>
      </c>
      <c r="AG145" s="51" t="str">
        <f t="shared" si="109"/>
        <v>Anno 29</v>
      </c>
      <c r="AH145" s="51" t="str">
        <f t="shared" si="109"/>
        <v>Anno 30</v>
      </c>
      <c r="AI145" s="51" t="str">
        <f t="shared" si="109"/>
        <v>Anno 31</v>
      </c>
    </row>
    <row r="146" spans="1:160" ht="4.5" customHeight="1">
      <c r="AI146" s="70"/>
    </row>
    <row r="147" spans="1:160">
      <c r="B147" s="71" t="str">
        <f>+Ipotesi!$A$32</f>
        <v>Attrezzature</v>
      </c>
      <c r="C147" s="72">
        <f>Ipotesi!$C$43</f>
        <v>0</v>
      </c>
      <c r="D147" s="73"/>
      <c r="E147" s="74">
        <f t="shared" ref="E147:AI147" si="110">IF($D147*$C147&gt;=D148,D148,$D147*$C147)</f>
        <v>0</v>
      </c>
      <c r="F147" s="75">
        <f t="shared" si="110"/>
        <v>0</v>
      </c>
      <c r="G147" s="75">
        <f t="shared" si="110"/>
        <v>0</v>
      </c>
      <c r="H147" s="75">
        <f t="shared" si="110"/>
        <v>0</v>
      </c>
      <c r="I147" s="75">
        <f t="shared" si="110"/>
        <v>0</v>
      </c>
      <c r="J147" s="75">
        <f t="shared" si="110"/>
        <v>0</v>
      </c>
      <c r="K147" s="75">
        <f t="shared" si="110"/>
        <v>0</v>
      </c>
      <c r="L147" s="75">
        <f t="shared" si="110"/>
        <v>0</v>
      </c>
      <c r="M147" s="75">
        <f t="shared" si="110"/>
        <v>0</v>
      </c>
      <c r="N147" s="75">
        <f t="shared" si="110"/>
        <v>0</v>
      </c>
      <c r="O147" s="75">
        <f t="shared" si="110"/>
        <v>0</v>
      </c>
      <c r="P147" s="75">
        <f t="shared" si="110"/>
        <v>0</v>
      </c>
      <c r="Q147" s="75">
        <f t="shared" si="110"/>
        <v>0</v>
      </c>
      <c r="R147" s="75">
        <f t="shared" si="110"/>
        <v>0</v>
      </c>
      <c r="S147" s="75">
        <f t="shared" si="110"/>
        <v>0</v>
      </c>
      <c r="T147" s="75">
        <f t="shared" si="110"/>
        <v>0</v>
      </c>
      <c r="U147" s="75">
        <f t="shared" si="110"/>
        <v>0</v>
      </c>
      <c r="V147" s="75">
        <f t="shared" si="110"/>
        <v>0</v>
      </c>
      <c r="W147" s="75">
        <f t="shared" si="110"/>
        <v>0</v>
      </c>
      <c r="X147" s="75">
        <f t="shared" si="110"/>
        <v>0</v>
      </c>
      <c r="Y147" s="75">
        <f t="shared" si="110"/>
        <v>0</v>
      </c>
      <c r="Z147" s="75">
        <f t="shared" si="110"/>
        <v>0</v>
      </c>
      <c r="AA147" s="75">
        <f t="shared" si="110"/>
        <v>0</v>
      </c>
      <c r="AB147" s="75">
        <f t="shared" si="110"/>
        <v>0</v>
      </c>
      <c r="AC147" s="75">
        <f t="shared" si="110"/>
        <v>0</v>
      </c>
      <c r="AD147" s="75">
        <f t="shared" si="110"/>
        <v>0</v>
      </c>
      <c r="AE147" s="75">
        <f t="shared" si="110"/>
        <v>0</v>
      </c>
      <c r="AF147" s="75">
        <f t="shared" si="110"/>
        <v>0</v>
      </c>
      <c r="AG147" s="75">
        <f t="shared" si="110"/>
        <v>0</v>
      </c>
      <c r="AH147" s="75">
        <f t="shared" si="110"/>
        <v>0</v>
      </c>
      <c r="AI147" s="76">
        <f t="shared" si="110"/>
        <v>0</v>
      </c>
    </row>
    <row r="148" spans="1:160">
      <c r="B148" s="71" t="s">
        <v>61</v>
      </c>
      <c r="C148" s="72"/>
      <c r="D148" s="77"/>
      <c r="E148" s="78">
        <f>D148-E147</f>
        <v>0</v>
      </c>
      <c r="F148" s="63">
        <f t="shared" ref="F148:AI148" si="111">IF(E148-F147&gt;0,E148-F147,0)</f>
        <v>0</v>
      </c>
      <c r="G148" s="63">
        <f t="shared" si="111"/>
        <v>0</v>
      </c>
      <c r="H148" s="63">
        <f t="shared" si="111"/>
        <v>0</v>
      </c>
      <c r="I148" s="63">
        <f t="shared" si="111"/>
        <v>0</v>
      </c>
      <c r="J148" s="63">
        <f t="shared" si="111"/>
        <v>0</v>
      </c>
      <c r="K148" s="63">
        <f t="shared" si="111"/>
        <v>0</v>
      </c>
      <c r="L148" s="63">
        <f t="shared" si="111"/>
        <v>0</v>
      </c>
      <c r="M148" s="63">
        <f t="shared" si="111"/>
        <v>0</v>
      </c>
      <c r="N148" s="63">
        <f t="shared" si="111"/>
        <v>0</v>
      </c>
      <c r="O148" s="63">
        <f t="shared" si="111"/>
        <v>0</v>
      </c>
      <c r="P148" s="63">
        <f t="shared" si="111"/>
        <v>0</v>
      </c>
      <c r="Q148" s="63">
        <f t="shared" si="111"/>
        <v>0</v>
      </c>
      <c r="R148" s="63">
        <f t="shared" si="111"/>
        <v>0</v>
      </c>
      <c r="S148" s="63">
        <f t="shared" si="111"/>
        <v>0</v>
      </c>
      <c r="T148" s="63">
        <f t="shared" si="111"/>
        <v>0</v>
      </c>
      <c r="U148" s="63">
        <f t="shared" si="111"/>
        <v>0</v>
      </c>
      <c r="V148" s="63">
        <f t="shared" si="111"/>
        <v>0</v>
      </c>
      <c r="W148" s="63">
        <f t="shared" si="111"/>
        <v>0</v>
      </c>
      <c r="X148" s="63">
        <f t="shared" si="111"/>
        <v>0</v>
      </c>
      <c r="Y148" s="63">
        <f t="shared" si="111"/>
        <v>0</v>
      </c>
      <c r="Z148" s="63">
        <f t="shared" si="111"/>
        <v>0</v>
      </c>
      <c r="AA148" s="63">
        <f t="shared" si="111"/>
        <v>0</v>
      </c>
      <c r="AB148" s="63">
        <f t="shared" si="111"/>
        <v>0</v>
      </c>
      <c r="AC148" s="63">
        <f t="shared" si="111"/>
        <v>0</v>
      </c>
      <c r="AD148" s="63">
        <f t="shared" si="111"/>
        <v>0</v>
      </c>
      <c r="AE148" s="63">
        <f t="shared" si="111"/>
        <v>0</v>
      </c>
      <c r="AF148" s="63">
        <f t="shared" si="111"/>
        <v>0</v>
      </c>
      <c r="AG148" s="63">
        <f t="shared" si="111"/>
        <v>0</v>
      </c>
      <c r="AH148" s="63">
        <f t="shared" si="111"/>
        <v>0</v>
      </c>
      <c r="AI148" s="79">
        <f t="shared" si="111"/>
        <v>0</v>
      </c>
    </row>
    <row r="149" spans="1:160" s="80" customFormat="1">
      <c r="A149" s="95" t="str">
        <f>E145</f>
        <v>Anno 1</v>
      </c>
      <c r="B149" s="80" t="str">
        <f>$B147</f>
        <v>Attrezzature</v>
      </c>
      <c r="C149" s="81">
        <f>$C$147</f>
        <v>0</v>
      </c>
      <c r="D149" s="52">
        <f>Ipotesi!C32</f>
        <v>0</v>
      </c>
      <c r="E149" s="82">
        <f t="shared" ref="E149:AI149" si="112">IF($D149*$C149&gt;=D150,D150,$D149*$C149)</f>
        <v>0</v>
      </c>
      <c r="F149" s="83">
        <f t="shared" si="112"/>
        <v>0</v>
      </c>
      <c r="G149" s="83">
        <f t="shared" si="112"/>
        <v>0</v>
      </c>
      <c r="H149" s="83">
        <f t="shared" si="112"/>
        <v>0</v>
      </c>
      <c r="I149" s="83">
        <f t="shared" si="112"/>
        <v>0</v>
      </c>
      <c r="J149" s="83">
        <f t="shared" si="112"/>
        <v>0</v>
      </c>
      <c r="K149" s="83">
        <f t="shared" si="112"/>
        <v>0</v>
      </c>
      <c r="L149" s="83">
        <f t="shared" si="112"/>
        <v>0</v>
      </c>
      <c r="M149" s="83">
        <f t="shared" si="112"/>
        <v>0</v>
      </c>
      <c r="N149" s="83">
        <f t="shared" si="112"/>
        <v>0</v>
      </c>
      <c r="O149" s="83">
        <f t="shared" si="112"/>
        <v>0</v>
      </c>
      <c r="P149" s="83">
        <f t="shared" si="112"/>
        <v>0</v>
      </c>
      <c r="Q149" s="83">
        <f t="shared" si="112"/>
        <v>0</v>
      </c>
      <c r="R149" s="83">
        <f t="shared" si="112"/>
        <v>0</v>
      </c>
      <c r="S149" s="83">
        <f t="shared" si="112"/>
        <v>0</v>
      </c>
      <c r="T149" s="83">
        <f t="shared" si="112"/>
        <v>0</v>
      </c>
      <c r="U149" s="83">
        <f t="shared" si="112"/>
        <v>0</v>
      </c>
      <c r="V149" s="83">
        <f t="shared" si="112"/>
        <v>0</v>
      </c>
      <c r="W149" s="83">
        <f t="shared" si="112"/>
        <v>0</v>
      </c>
      <c r="X149" s="83">
        <f t="shared" si="112"/>
        <v>0</v>
      </c>
      <c r="Y149" s="83">
        <f t="shared" si="112"/>
        <v>0</v>
      </c>
      <c r="Z149" s="83">
        <f t="shared" si="112"/>
        <v>0</v>
      </c>
      <c r="AA149" s="83">
        <f t="shared" si="112"/>
        <v>0</v>
      </c>
      <c r="AB149" s="83">
        <f t="shared" si="112"/>
        <v>0</v>
      </c>
      <c r="AC149" s="83">
        <f t="shared" si="112"/>
        <v>0</v>
      </c>
      <c r="AD149" s="83">
        <f t="shared" si="112"/>
        <v>0</v>
      </c>
      <c r="AE149" s="83">
        <f t="shared" si="112"/>
        <v>0</v>
      </c>
      <c r="AF149" s="83">
        <f t="shared" si="112"/>
        <v>0</v>
      </c>
      <c r="AG149" s="83">
        <f t="shared" si="112"/>
        <v>0</v>
      </c>
      <c r="AH149" s="83">
        <f t="shared" si="112"/>
        <v>0</v>
      </c>
      <c r="AI149" s="84">
        <f t="shared" si="112"/>
        <v>0</v>
      </c>
      <c r="FD149" s="59"/>
    </row>
    <row r="150" spans="1:160">
      <c r="A150" s="60" t="str">
        <f>E145</f>
        <v>Anno 1</v>
      </c>
      <c r="B150" s="59" t="s">
        <v>61</v>
      </c>
      <c r="C150" s="81"/>
      <c r="D150" s="52">
        <f>D149</f>
        <v>0</v>
      </c>
      <c r="E150" s="78">
        <f>$D150-E149</f>
        <v>0</v>
      </c>
      <c r="F150" s="63">
        <f t="shared" ref="F150:AI150" si="113">IF(E150-F149&gt;0,E150-F149,0)</f>
        <v>0</v>
      </c>
      <c r="G150" s="63">
        <f t="shared" si="113"/>
        <v>0</v>
      </c>
      <c r="H150" s="63">
        <f t="shared" si="113"/>
        <v>0</v>
      </c>
      <c r="I150" s="63">
        <f t="shared" si="113"/>
        <v>0</v>
      </c>
      <c r="J150" s="63">
        <f t="shared" si="113"/>
        <v>0</v>
      </c>
      <c r="K150" s="63">
        <f t="shared" si="113"/>
        <v>0</v>
      </c>
      <c r="L150" s="63">
        <f t="shared" si="113"/>
        <v>0</v>
      </c>
      <c r="M150" s="63">
        <f t="shared" si="113"/>
        <v>0</v>
      </c>
      <c r="N150" s="63">
        <f t="shared" si="113"/>
        <v>0</v>
      </c>
      <c r="O150" s="63">
        <f t="shared" si="113"/>
        <v>0</v>
      </c>
      <c r="P150" s="63">
        <f t="shared" si="113"/>
        <v>0</v>
      </c>
      <c r="Q150" s="63">
        <f t="shared" si="113"/>
        <v>0</v>
      </c>
      <c r="R150" s="63">
        <f t="shared" si="113"/>
        <v>0</v>
      </c>
      <c r="S150" s="63">
        <f t="shared" si="113"/>
        <v>0</v>
      </c>
      <c r="T150" s="63">
        <f t="shared" si="113"/>
        <v>0</v>
      </c>
      <c r="U150" s="63">
        <f t="shared" si="113"/>
        <v>0</v>
      </c>
      <c r="V150" s="63">
        <f t="shared" si="113"/>
        <v>0</v>
      </c>
      <c r="W150" s="63">
        <f t="shared" si="113"/>
        <v>0</v>
      </c>
      <c r="X150" s="63">
        <f t="shared" si="113"/>
        <v>0</v>
      </c>
      <c r="Y150" s="63">
        <f t="shared" si="113"/>
        <v>0</v>
      </c>
      <c r="Z150" s="63">
        <f t="shared" si="113"/>
        <v>0</v>
      </c>
      <c r="AA150" s="63">
        <f t="shared" si="113"/>
        <v>0</v>
      </c>
      <c r="AB150" s="63">
        <f t="shared" si="113"/>
        <v>0</v>
      </c>
      <c r="AC150" s="63">
        <f t="shared" si="113"/>
        <v>0</v>
      </c>
      <c r="AD150" s="63">
        <f t="shared" si="113"/>
        <v>0</v>
      </c>
      <c r="AE150" s="63">
        <f t="shared" si="113"/>
        <v>0</v>
      </c>
      <c r="AF150" s="63">
        <f t="shared" si="113"/>
        <v>0</v>
      </c>
      <c r="AG150" s="63">
        <f t="shared" si="113"/>
        <v>0</v>
      </c>
      <c r="AH150" s="63">
        <f t="shared" si="113"/>
        <v>0</v>
      </c>
      <c r="AI150" s="79">
        <f t="shared" si="113"/>
        <v>0</v>
      </c>
    </row>
    <row r="151" spans="1:160" s="80" customFormat="1">
      <c r="A151" s="95" t="str">
        <f>F145</f>
        <v>Anno 2</v>
      </c>
      <c r="B151" s="80" t="str">
        <f>$B147</f>
        <v>Attrezzature</v>
      </c>
      <c r="C151" s="81">
        <f>$C$147</f>
        <v>0</v>
      </c>
      <c r="D151" s="52">
        <f>Ipotesi!D32</f>
        <v>0</v>
      </c>
      <c r="E151" s="85"/>
      <c r="F151" s="64">
        <f>IF($D151*$C151&gt;=$D152,$D152,$D151*$C151)</f>
        <v>0</v>
      </c>
      <c r="G151" s="64">
        <f t="shared" ref="G151:AI151" si="114">IF($D151*$C151&gt;=F152,F152,$D151*$C151)</f>
        <v>0</v>
      </c>
      <c r="H151" s="64">
        <f t="shared" si="114"/>
        <v>0</v>
      </c>
      <c r="I151" s="64">
        <f t="shared" si="114"/>
        <v>0</v>
      </c>
      <c r="J151" s="64">
        <f t="shared" si="114"/>
        <v>0</v>
      </c>
      <c r="K151" s="64">
        <f t="shared" si="114"/>
        <v>0</v>
      </c>
      <c r="L151" s="64">
        <f t="shared" si="114"/>
        <v>0</v>
      </c>
      <c r="M151" s="64">
        <f t="shared" si="114"/>
        <v>0</v>
      </c>
      <c r="N151" s="64">
        <f t="shared" si="114"/>
        <v>0</v>
      </c>
      <c r="O151" s="64">
        <f t="shared" si="114"/>
        <v>0</v>
      </c>
      <c r="P151" s="64">
        <f t="shared" si="114"/>
        <v>0</v>
      </c>
      <c r="Q151" s="64">
        <f t="shared" si="114"/>
        <v>0</v>
      </c>
      <c r="R151" s="64">
        <f t="shared" si="114"/>
        <v>0</v>
      </c>
      <c r="S151" s="64">
        <f t="shared" si="114"/>
        <v>0</v>
      </c>
      <c r="T151" s="64">
        <f t="shared" si="114"/>
        <v>0</v>
      </c>
      <c r="U151" s="64">
        <f t="shared" si="114"/>
        <v>0</v>
      </c>
      <c r="V151" s="64">
        <f t="shared" si="114"/>
        <v>0</v>
      </c>
      <c r="W151" s="64">
        <f t="shared" si="114"/>
        <v>0</v>
      </c>
      <c r="X151" s="64">
        <f t="shared" si="114"/>
        <v>0</v>
      </c>
      <c r="Y151" s="64">
        <f t="shared" si="114"/>
        <v>0</v>
      </c>
      <c r="Z151" s="64">
        <f t="shared" si="114"/>
        <v>0</v>
      </c>
      <c r="AA151" s="64">
        <f t="shared" si="114"/>
        <v>0</v>
      </c>
      <c r="AB151" s="64">
        <f t="shared" si="114"/>
        <v>0</v>
      </c>
      <c r="AC151" s="64">
        <f t="shared" si="114"/>
        <v>0</v>
      </c>
      <c r="AD151" s="64">
        <f t="shared" si="114"/>
        <v>0</v>
      </c>
      <c r="AE151" s="64">
        <f t="shared" si="114"/>
        <v>0</v>
      </c>
      <c r="AF151" s="64">
        <f t="shared" si="114"/>
        <v>0</v>
      </c>
      <c r="AG151" s="64">
        <f t="shared" si="114"/>
        <v>0</v>
      </c>
      <c r="AH151" s="64">
        <f t="shared" si="114"/>
        <v>0</v>
      </c>
      <c r="AI151" s="86">
        <f t="shared" si="114"/>
        <v>0</v>
      </c>
      <c r="FD151" s="59"/>
    </row>
    <row r="152" spans="1:160">
      <c r="A152" s="60" t="str">
        <f>F145</f>
        <v>Anno 2</v>
      </c>
      <c r="B152" s="59" t="s">
        <v>61</v>
      </c>
      <c r="C152" s="81"/>
      <c r="D152" s="52">
        <f>D151</f>
        <v>0</v>
      </c>
      <c r="E152" s="78"/>
      <c r="F152" s="63">
        <f>$D152-F151</f>
        <v>0</v>
      </c>
      <c r="G152" s="63">
        <f t="shared" ref="G152:AI152" si="115">IF(F152-G151&gt;0,F152-G151,0)</f>
        <v>0</v>
      </c>
      <c r="H152" s="63">
        <f t="shared" si="115"/>
        <v>0</v>
      </c>
      <c r="I152" s="63">
        <f t="shared" si="115"/>
        <v>0</v>
      </c>
      <c r="J152" s="63">
        <f t="shared" si="115"/>
        <v>0</v>
      </c>
      <c r="K152" s="63">
        <f t="shared" si="115"/>
        <v>0</v>
      </c>
      <c r="L152" s="63">
        <f t="shared" si="115"/>
        <v>0</v>
      </c>
      <c r="M152" s="63">
        <f t="shared" si="115"/>
        <v>0</v>
      </c>
      <c r="N152" s="63">
        <f t="shared" si="115"/>
        <v>0</v>
      </c>
      <c r="O152" s="63">
        <f t="shared" si="115"/>
        <v>0</v>
      </c>
      <c r="P152" s="63">
        <f t="shared" si="115"/>
        <v>0</v>
      </c>
      <c r="Q152" s="63">
        <f t="shared" si="115"/>
        <v>0</v>
      </c>
      <c r="R152" s="63">
        <f t="shared" si="115"/>
        <v>0</v>
      </c>
      <c r="S152" s="63">
        <f t="shared" si="115"/>
        <v>0</v>
      </c>
      <c r="T152" s="63">
        <f t="shared" si="115"/>
        <v>0</v>
      </c>
      <c r="U152" s="63">
        <f t="shared" si="115"/>
        <v>0</v>
      </c>
      <c r="V152" s="63">
        <f t="shared" si="115"/>
        <v>0</v>
      </c>
      <c r="W152" s="63">
        <f t="shared" si="115"/>
        <v>0</v>
      </c>
      <c r="X152" s="63">
        <f t="shared" si="115"/>
        <v>0</v>
      </c>
      <c r="Y152" s="63">
        <f t="shared" si="115"/>
        <v>0</v>
      </c>
      <c r="Z152" s="63">
        <f t="shared" si="115"/>
        <v>0</v>
      </c>
      <c r="AA152" s="63">
        <f t="shared" si="115"/>
        <v>0</v>
      </c>
      <c r="AB152" s="63">
        <f t="shared" si="115"/>
        <v>0</v>
      </c>
      <c r="AC152" s="63">
        <f t="shared" si="115"/>
        <v>0</v>
      </c>
      <c r="AD152" s="63">
        <f t="shared" si="115"/>
        <v>0</v>
      </c>
      <c r="AE152" s="63">
        <f t="shared" si="115"/>
        <v>0</v>
      </c>
      <c r="AF152" s="63">
        <f t="shared" si="115"/>
        <v>0</v>
      </c>
      <c r="AG152" s="63">
        <f t="shared" si="115"/>
        <v>0</v>
      </c>
      <c r="AH152" s="63">
        <f t="shared" si="115"/>
        <v>0</v>
      </c>
      <c r="AI152" s="79">
        <f t="shared" si="115"/>
        <v>0</v>
      </c>
    </row>
    <row r="153" spans="1:160" s="80" customFormat="1">
      <c r="A153" s="95" t="str">
        <f>G145</f>
        <v>Anno 3</v>
      </c>
      <c r="B153" s="80" t="str">
        <f>$B147</f>
        <v>Attrezzature</v>
      </c>
      <c r="C153" s="81">
        <f>$C$147</f>
        <v>0</v>
      </c>
      <c r="D153" s="52">
        <f>Ipotesi!E32</f>
        <v>0</v>
      </c>
      <c r="E153" s="85"/>
      <c r="F153" s="64"/>
      <c r="G153" s="64">
        <f>IF($D153*$C153&gt;=$D154,$D154,$D153*$C153)</f>
        <v>0</v>
      </c>
      <c r="H153" s="64">
        <f t="shared" ref="H153:AI153" si="116">IF($D153*$C153&gt;=G154,G154,$D153*$C153)</f>
        <v>0</v>
      </c>
      <c r="I153" s="64">
        <f t="shared" si="116"/>
        <v>0</v>
      </c>
      <c r="J153" s="64">
        <f t="shared" si="116"/>
        <v>0</v>
      </c>
      <c r="K153" s="64">
        <f t="shared" si="116"/>
        <v>0</v>
      </c>
      <c r="L153" s="64">
        <f t="shared" si="116"/>
        <v>0</v>
      </c>
      <c r="M153" s="64">
        <f t="shared" si="116"/>
        <v>0</v>
      </c>
      <c r="N153" s="64">
        <f t="shared" si="116"/>
        <v>0</v>
      </c>
      <c r="O153" s="64">
        <f t="shared" si="116"/>
        <v>0</v>
      </c>
      <c r="P153" s="64">
        <f t="shared" si="116"/>
        <v>0</v>
      </c>
      <c r="Q153" s="64">
        <f t="shared" si="116"/>
        <v>0</v>
      </c>
      <c r="R153" s="64">
        <f t="shared" si="116"/>
        <v>0</v>
      </c>
      <c r="S153" s="64">
        <f t="shared" si="116"/>
        <v>0</v>
      </c>
      <c r="T153" s="64">
        <f t="shared" si="116"/>
        <v>0</v>
      </c>
      <c r="U153" s="64">
        <f t="shared" si="116"/>
        <v>0</v>
      </c>
      <c r="V153" s="64">
        <f t="shared" si="116"/>
        <v>0</v>
      </c>
      <c r="W153" s="64">
        <f t="shared" si="116"/>
        <v>0</v>
      </c>
      <c r="X153" s="64">
        <f t="shared" si="116"/>
        <v>0</v>
      </c>
      <c r="Y153" s="64">
        <f t="shared" si="116"/>
        <v>0</v>
      </c>
      <c r="Z153" s="64">
        <f t="shared" si="116"/>
        <v>0</v>
      </c>
      <c r="AA153" s="64">
        <f t="shared" si="116"/>
        <v>0</v>
      </c>
      <c r="AB153" s="64">
        <f t="shared" si="116"/>
        <v>0</v>
      </c>
      <c r="AC153" s="64">
        <f t="shared" si="116"/>
        <v>0</v>
      </c>
      <c r="AD153" s="64">
        <f t="shared" si="116"/>
        <v>0</v>
      </c>
      <c r="AE153" s="64">
        <f t="shared" si="116"/>
        <v>0</v>
      </c>
      <c r="AF153" s="64">
        <f t="shared" si="116"/>
        <v>0</v>
      </c>
      <c r="AG153" s="64">
        <f t="shared" si="116"/>
        <v>0</v>
      </c>
      <c r="AH153" s="64">
        <f t="shared" si="116"/>
        <v>0</v>
      </c>
      <c r="AI153" s="86">
        <f t="shared" si="116"/>
        <v>0</v>
      </c>
      <c r="FD153" s="59"/>
    </row>
    <row r="154" spans="1:160">
      <c r="A154" s="60" t="str">
        <f>G145</f>
        <v>Anno 3</v>
      </c>
      <c r="B154" s="59" t="s">
        <v>61</v>
      </c>
      <c r="C154" s="81"/>
      <c r="D154" s="52">
        <f>D153</f>
        <v>0</v>
      </c>
      <c r="E154" s="78"/>
      <c r="G154" s="63">
        <f>$D154-G153</f>
        <v>0</v>
      </c>
      <c r="H154" s="63">
        <f t="shared" ref="H154:AI154" si="117">IF(G154-H153&gt;0,G154-H153,0)</f>
        <v>0</v>
      </c>
      <c r="I154" s="63">
        <f t="shared" si="117"/>
        <v>0</v>
      </c>
      <c r="J154" s="63">
        <f t="shared" si="117"/>
        <v>0</v>
      </c>
      <c r="K154" s="63">
        <f t="shared" si="117"/>
        <v>0</v>
      </c>
      <c r="L154" s="63">
        <f t="shared" si="117"/>
        <v>0</v>
      </c>
      <c r="M154" s="63">
        <f t="shared" si="117"/>
        <v>0</v>
      </c>
      <c r="N154" s="63">
        <f t="shared" si="117"/>
        <v>0</v>
      </c>
      <c r="O154" s="63">
        <f t="shared" si="117"/>
        <v>0</v>
      </c>
      <c r="P154" s="63">
        <f t="shared" si="117"/>
        <v>0</v>
      </c>
      <c r="Q154" s="63">
        <f t="shared" si="117"/>
        <v>0</v>
      </c>
      <c r="R154" s="63">
        <f t="shared" si="117"/>
        <v>0</v>
      </c>
      <c r="S154" s="63">
        <f t="shared" si="117"/>
        <v>0</v>
      </c>
      <c r="T154" s="63">
        <f t="shared" si="117"/>
        <v>0</v>
      </c>
      <c r="U154" s="63">
        <f t="shared" si="117"/>
        <v>0</v>
      </c>
      <c r="V154" s="63">
        <f t="shared" si="117"/>
        <v>0</v>
      </c>
      <c r="W154" s="63">
        <f t="shared" si="117"/>
        <v>0</v>
      </c>
      <c r="X154" s="63">
        <f t="shared" si="117"/>
        <v>0</v>
      </c>
      <c r="Y154" s="63">
        <f t="shared" si="117"/>
        <v>0</v>
      </c>
      <c r="Z154" s="63">
        <f t="shared" si="117"/>
        <v>0</v>
      </c>
      <c r="AA154" s="63">
        <f t="shared" si="117"/>
        <v>0</v>
      </c>
      <c r="AB154" s="63">
        <f t="shared" si="117"/>
        <v>0</v>
      </c>
      <c r="AC154" s="63">
        <f t="shared" si="117"/>
        <v>0</v>
      </c>
      <c r="AD154" s="63">
        <f t="shared" si="117"/>
        <v>0</v>
      </c>
      <c r="AE154" s="63">
        <f t="shared" si="117"/>
        <v>0</v>
      </c>
      <c r="AF154" s="63">
        <f t="shared" si="117"/>
        <v>0</v>
      </c>
      <c r="AG154" s="63">
        <f t="shared" si="117"/>
        <v>0</v>
      </c>
      <c r="AH154" s="63">
        <f t="shared" si="117"/>
        <v>0</v>
      </c>
      <c r="AI154" s="79">
        <f t="shared" si="117"/>
        <v>0</v>
      </c>
    </row>
    <row r="155" spans="1:160" s="80" customFormat="1">
      <c r="A155" s="95" t="str">
        <f>H145</f>
        <v>Anno 4</v>
      </c>
      <c r="B155" s="80" t="str">
        <f>$B147</f>
        <v>Attrezzature</v>
      </c>
      <c r="C155" s="81">
        <f>$C$147</f>
        <v>0</v>
      </c>
      <c r="D155" s="52">
        <f>Ipotesi!F32</f>
        <v>0</v>
      </c>
      <c r="E155" s="85"/>
      <c r="F155" s="64"/>
      <c r="G155" s="64"/>
      <c r="H155" s="64">
        <f>IF($D155*$C155&gt;=$D156,$D156,$D155*$C155)</f>
        <v>0</v>
      </c>
      <c r="I155" s="64">
        <f t="shared" ref="I155:AI155" si="118">IF($D155*$C155&gt;=H156,H156,$D155*$C155)</f>
        <v>0</v>
      </c>
      <c r="J155" s="64">
        <f t="shared" si="118"/>
        <v>0</v>
      </c>
      <c r="K155" s="64">
        <f t="shared" si="118"/>
        <v>0</v>
      </c>
      <c r="L155" s="64">
        <f t="shared" si="118"/>
        <v>0</v>
      </c>
      <c r="M155" s="64">
        <f t="shared" si="118"/>
        <v>0</v>
      </c>
      <c r="N155" s="64">
        <f t="shared" si="118"/>
        <v>0</v>
      </c>
      <c r="O155" s="64">
        <f t="shared" si="118"/>
        <v>0</v>
      </c>
      <c r="P155" s="64">
        <f t="shared" si="118"/>
        <v>0</v>
      </c>
      <c r="Q155" s="64">
        <f t="shared" si="118"/>
        <v>0</v>
      </c>
      <c r="R155" s="64">
        <f t="shared" si="118"/>
        <v>0</v>
      </c>
      <c r="S155" s="64">
        <f t="shared" si="118"/>
        <v>0</v>
      </c>
      <c r="T155" s="64">
        <f t="shared" si="118"/>
        <v>0</v>
      </c>
      <c r="U155" s="64">
        <f t="shared" si="118"/>
        <v>0</v>
      </c>
      <c r="V155" s="64">
        <f t="shared" si="118"/>
        <v>0</v>
      </c>
      <c r="W155" s="64">
        <f t="shared" si="118"/>
        <v>0</v>
      </c>
      <c r="X155" s="64">
        <f t="shared" si="118"/>
        <v>0</v>
      </c>
      <c r="Y155" s="64">
        <f t="shared" si="118"/>
        <v>0</v>
      </c>
      <c r="Z155" s="64">
        <f t="shared" si="118"/>
        <v>0</v>
      </c>
      <c r="AA155" s="64">
        <f t="shared" si="118"/>
        <v>0</v>
      </c>
      <c r="AB155" s="64">
        <f t="shared" si="118"/>
        <v>0</v>
      </c>
      <c r="AC155" s="64">
        <f t="shared" si="118"/>
        <v>0</v>
      </c>
      <c r="AD155" s="64">
        <f t="shared" si="118"/>
        <v>0</v>
      </c>
      <c r="AE155" s="64">
        <f t="shared" si="118"/>
        <v>0</v>
      </c>
      <c r="AF155" s="64">
        <f t="shared" si="118"/>
        <v>0</v>
      </c>
      <c r="AG155" s="64">
        <f t="shared" si="118"/>
        <v>0</v>
      </c>
      <c r="AH155" s="64">
        <f t="shared" si="118"/>
        <v>0</v>
      </c>
      <c r="AI155" s="86">
        <f t="shared" si="118"/>
        <v>0</v>
      </c>
      <c r="FD155" s="59"/>
    </row>
    <row r="156" spans="1:160">
      <c r="A156" s="60" t="str">
        <f>H145</f>
        <v>Anno 4</v>
      </c>
      <c r="B156" s="59" t="s">
        <v>61</v>
      </c>
      <c r="C156" s="81"/>
      <c r="D156" s="52">
        <f>D155</f>
        <v>0</v>
      </c>
      <c r="E156" s="78"/>
      <c r="H156" s="63">
        <f>$D156-H155</f>
        <v>0</v>
      </c>
      <c r="I156" s="63">
        <f t="shared" ref="I156:AI156" si="119">IF(H156-I155&gt;0,H156-I155,0)</f>
        <v>0</v>
      </c>
      <c r="J156" s="63">
        <f t="shared" si="119"/>
        <v>0</v>
      </c>
      <c r="K156" s="63">
        <f t="shared" si="119"/>
        <v>0</v>
      </c>
      <c r="L156" s="63">
        <f t="shared" si="119"/>
        <v>0</v>
      </c>
      <c r="M156" s="63">
        <f t="shared" si="119"/>
        <v>0</v>
      </c>
      <c r="N156" s="63">
        <f t="shared" si="119"/>
        <v>0</v>
      </c>
      <c r="O156" s="63">
        <f t="shared" si="119"/>
        <v>0</v>
      </c>
      <c r="P156" s="63">
        <f t="shared" si="119"/>
        <v>0</v>
      </c>
      <c r="Q156" s="63">
        <f t="shared" si="119"/>
        <v>0</v>
      </c>
      <c r="R156" s="63">
        <f t="shared" si="119"/>
        <v>0</v>
      </c>
      <c r="S156" s="63">
        <f t="shared" si="119"/>
        <v>0</v>
      </c>
      <c r="T156" s="63">
        <f t="shared" si="119"/>
        <v>0</v>
      </c>
      <c r="U156" s="63">
        <f t="shared" si="119"/>
        <v>0</v>
      </c>
      <c r="V156" s="63">
        <f t="shared" si="119"/>
        <v>0</v>
      </c>
      <c r="W156" s="63">
        <f t="shared" si="119"/>
        <v>0</v>
      </c>
      <c r="X156" s="63">
        <f t="shared" si="119"/>
        <v>0</v>
      </c>
      <c r="Y156" s="63">
        <f t="shared" si="119"/>
        <v>0</v>
      </c>
      <c r="Z156" s="63">
        <f t="shared" si="119"/>
        <v>0</v>
      </c>
      <c r="AA156" s="63">
        <f t="shared" si="119"/>
        <v>0</v>
      </c>
      <c r="AB156" s="63">
        <f t="shared" si="119"/>
        <v>0</v>
      </c>
      <c r="AC156" s="63">
        <f t="shared" si="119"/>
        <v>0</v>
      </c>
      <c r="AD156" s="63">
        <f t="shared" si="119"/>
        <v>0</v>
      </c>
      <c r="AE156" s="63">
        <f t="shared" si="119"/>
        <v>0</v>
      </c>
      <c r="AF156" s="63">
        <f t="shared" si="119"/>
        <v>0</v>
      </c>
      <c r="AG156" s="63">
        <f t="shared" si="119"/>
        <v>0</v>
      </c>
      <c r="AH156" s="63">
        <f t="shared" si="119"/>
        <v>0</v>
      </c>
      <c r="AI156" s="79">
        <f t="shared" si="119"/>
        <v>0</v>
      </c>
    </row>
    <row r="157" spans="1:160" s="80" customFormat="1">
      <c r="A157" s="95" t="str">
        <f>I145</f>
        <v>Anno 5</v>
      </c>
      <c r="B157" s="80" t="str">
        <f>$B147</f>
        <v>Attrezzature</v>
      </c>
      <c r="C157" s="81">
        <f>$C$147</f>
        <v>0</v>
      </c>
      <c r="D157" s="52"/>
      <c r="E157" s="85"/>
      <c r="F157" s="64"/>
      <c r="G157" s="64"/>
      <c r="H157" s="64"/>
      <c r="I157" s="64">
        <f>IF($D157*$C157&gt;=$D158,$D158,$D157*$C157)</f>
        <v>0</v>
      </c>
      <c r="J157" s="64">
        <f t="shared" ref="J157:AI157" si="120">IF($D157*$C157&gt;=I158,I158,$D157*$C157)</f>
        <v>0</v>
      </c>
      <c r="K157" s="64">
        <f t="shared" si="120"/>
        <v>0</v>
      </c>
      <c r="L157" s="64">
        <f t="shared" si="120"/>
        <v>0</v>
      </c>
      <c r="M157" s="64">
        <f t="shared" si="120"/>
        <v>0</v>
      </c>
      <c r="N157" s="64">
        <f t="shared" si="120"/>
        <v>0</v>
      </c>
      <c r="O157" s="64">
        <f t="shared" si="120"/>
        <v>0</v>
      </c>
      <c r="P157" s="64">
        <f t="shared" si="120"/>
        <v>0</v>
      </c>
      <c r="Q157" s="64">
        <f t="shared" si="120"/>
        <v>0</v>
      </c>
      <c r="R157" s="64">
        <f t="shared" si="120"/>
        <v>0</v>
      </c>
      <c r="S157" s="64">
        <f t="shared" si="120"/>
        <v>0</v>
      </c>
      <c r="T157" s="64">
        <f t="shared" si="120"/>
        <v>0</v>
      </c>
      <c r="U157" s="64">
        <f t="shared" si="120"/>
        <v>0</v>
      </c>
      <c r="V157" s="64">
        <f t="shared" si="120"/>
        <v>0</v>
      </c>
      <c r="W157" s="64">
        <f t="shared" si="120"/>
        <v>0</v>
      </c>
      <c r="X157" s="64">
        <f t="shared" si="120"/>
        <v>0</v>
      </c>
      <c r="Y157" s="64">
        <f t="shared" si="120"/>
        <v>0</v>
      </c>
      <c r="Z157" s="64">
        <f t="shared" si="120"/>
        <v>0</v>
      </c>
      <c r="AA157" s="64">
        <f t="shared" si="120"/>
        <v>0</v>
      </c>
      <c r="AB157" s="64">
        <f t="shared" si="120"/>
        <v>0</v>
      </c>
      <c r="AC157" s="64">
        <f t="shared" si="120"/>
        <v>0</v>
      </c>
      <c r="AD157" s="64">
        <f t="shared" si="120"/>
        <v>0</v>
      </c>
      <c r="AE157" s="64">
        <f t="shared" si="120"/>
        <v>0</v>
      </c>
      <c r="AF157" s="64">
        <f t="shared" si="120"/>
        <v>0</v>
      </c>
      <c r="AG157" s="64">
        <f t="shared" si="120"/>
        <v>0</v>
      </c>
      <c r="AH157" s="64">
        <f t="shared" si="120"/>
        <v>0</v>
      </c>
      <c r="AI157" s="86">
        <f t="shared" si="120"/>
        <v>0</v>
      </c>
      <c r="FD157" s="59"/>
    </row>
    <row r="158" spans="1:160">
      <c r="A158" s="60" t="str">
        <f>I145</f>
        <v>Anno 5</v>
      </c>
      <c r="B158" s="59" t="s">
        <v>61</v>
      </c>
      <c r="C158" s="81"/>
      <c r="D158" s="52">
        <f>D157</f>
        <v>0</v>
      </c>
      <c r="E158" s="78"/>
      <c r="I158" s="63">
        <f>$D158-I157</f>
        <v>0</v>
      </c>
      <c r="J158" s="63">
        <f t="shared" ref="J158:AI158" si="121">IF(I158-J157&gt;0,I158-J157,0)</f>
        <v>0</v>
      </c>
      <c r="K158" s="63">
        <f t="shared" si="121"/>
        <v>0</v>
      </c>
      <c r="L158" s="63">
        <f t="shared" si="121"/>
        <v>0</v>
      </c>
      <c r="M158" s="63">
        <f t="shared" si="121"/>
        <v>0</v>
      </c>
      <c r="N158" s="63">
        <f t="shared" si="121"/>
        <v>0</v>
      </c>
      <c r="O158" s="63">
        <f t="shared" si="121"/>
        <v>0</v>
      </c>
      <c r="P158" s="63">
        <f t="shared" si="121"/>
        <v>0</v>
      </c>
      <c r="Q158" s="63">
        <f t="shared" si="121"/>
        <v>0</v>
      </c>
      <c r="R158" s="63">
        <f t="shared" si="121"/>
        <v>0</v>
      </c>
      <c r="S158" s="63">
        <f t="shared" si="121"/>
        <v>0</v>
      </c>
      <c r="T158" s="63">
        <f t="shared" si="121"/>
        <v>0</v>
      </c>
      <c r="U158" s="63">
        <f t="shared" si="121"/>
        <v>0</v>
      </c>
      <c r="V158" s="63">
        <f t="shared" si="121"/>
        <v>0</v>
      </c>
      <c r="W158" s="63">
        <f t="shared" si="121"/>
        <v>0</v>
      </c>
      <c r="X158" s="63">
        <f t="shared" si="121"/>
        <v>0</v>
      </c>
      <c r="Y158" s="63">
        <f t="shared" si="121"/>
        <v>0</v>
      </c>
      <c r="Z158" s="63">
        <f t="shared" si="121"/>
        <v>0</v>
      </c>
      <c r="AA158" s="63">
        <f t="shared" si="121"/>
        <v>0</v>
      </c>
      <c r="AB158" s="63">
        <f t="shared" si="121"/>
        <v>0</v>
      </c>
      <c r="AC158" s="63">
        <f t="shared" si="121"/>
        <v>0</v>
      </c>
      <c r="AD158" s="63">
        <f t="shared" si="121"/>
        <v>0</v>
      </c>
      <c r="AE158" s="63">
        <f t="shared" si="121"/>
        <v>0</v>
      </c>
      <c r="AF158" s="63">
        <f t="shared" si="121"/>
        <v>0</v>
      </c>
      <c r="AG158" s="63">
        <f t="shared" si="121"/>
        <v>0</v>
      </c>
      <c r="AH158" s="63">
        <f t="shared" si="121"/>
        <v>0</v>
      </c>
      <c r="AI158" s="79">
        <f t="shared" si="121"/>
        <v>0</v>
      </c>
    </row>
    <row r="159" spans="1:160" s="80" customFormat="1">
      <c r="A159" s="95" t="str">
        <f>J145</f>
        <v>Anno 6</v>
      </c>
      <c r="B159" s="80" t="str">
        <f>$B147</f>
        <v>Attrezzature</v>
      </c>
      <c r="C159" s="81">
        <f>$C$147</f>
        <v>0</v>
      </c>
      <c r="D159" s="52"/>
      <c r="E159" s="85"/>
      <c r="F159" s="64"/>
      <c r="G159" s="64"/>
      <c r="H159" s="64"/>
      <c r="I159" s="64"/>
      <c r="J159" s="64">
        <f>IF($D159*$C159&gt;=$D160,$D160,$D159*$C159)</f>
        <v>0</v>
      </c>
      <c r="K159" s="64">
        <f t="shared" ref="K159:AI159" si="122">IF($D159*$C159&gt;=J160,J160,$D159*$C159)</f>
        <v>0</v>
      </c>
      <c r="L159" s="64">
        <f t="shared" si="122"/>
        <v>0</v>
      </c>
      <c r="M159" s="64">
        <f t="shared" si="122"/>
        <v>0</v>
      </c>
      <c r="N159" s="64">
        <f t="shared" si="122"/>
        <v>0</v>
      </c>
      <c r="O159" s="64">
        <f t="shared" si="122"/>
        <v>0</v>
      </c>
      <c r="P159" s="64">
        <f t="shared" si="122"/>
        <v>0</v>
      </c>
      <c r="Q159" s="64">
        <f t="shared" si="122"/>
        <v>0</v>
      </c>
      <c r="R159" s="64">
        <f t="shared" si="122"/>
        <v>0</v>
      </c>
      <c r="S159" s="64">
        <f t="shared" si="122"/>
        <v>0</v>
      </c>
      <c r="T159" s="64">
        <f t="shared" si="122"/>
        <v>0</v>
      </c>
      <c r="U159" s="64">
        <f t="shared" si="122"/>
        <v>0</v>
      </c>
      <c r="V159" s="64">
        <f t="shared" si="122"/>
        <v>0</v>
      </c>
      <c r="W159" s="64">
        <f t="shared" si="122"/>
        <v>0</v>
      </c>
      <c r="X159" s="64">
        <f t="shared" si="122"/>
        <v>0</v>
      </c>
      <c r="Y159" s="64">
        <f t="shared" si="122"/>
        <v>0</v>
      </c>
      <c r="Z159" s="64">
        <f t="shared" si="122"/>
        <v>0</v>
      </c>
      <c r="AA159" s="64">
        <f t="shared" si="122"/>
        <v>0</v>
      </c>
      <c r="AB159" s="64">
        <f t="shared" si="122"/>
        <v>0</v>
      </c>
      <c r="AC159" s="64">
        <f t="shared" si="122"/>
        <v>0</v>
      </c>
      <c r="AD159" s="64">
        <f t="shared" si="122"/>
        <v>0</v>
      </c>
      <c r="AE159" s="64">
        <f t="shared" si="122"/>
        <v>0</v>
      </c>
      <c r="AF159" s="64">
        <f t="shared" si="122"/>
        <v>0</v>
      </c>
      <c r="AG159" s="64">
        <f t="shared" si="122"/>
        <v>0</v>
      </c>
      <c r="AH159" s="64">
        <f t="shared" si="122"/>
        <v>0</v>
      </c>
      <c r="AI159" s="86">
        <f t="shared" si="122"/>
        <v>0</v>
      </c>
      <c r="FD159" s="59"/>
    </row>
    <row r="160" spans="1:160">
      <c r="A160" s="60" t="str">
        <f>J145</f>
        <v>Anno 6</v>
      </c>
      <c r="B160" s="59" t="s">
        <v>61</v>
      </c>
      <c r="C160" s="81"/>
      <c r="D160" s="52">
        <f>D159</f>
        <v>0</v>
      </c>
      <c r="E160" s="78"/>
      <c r="J160" s="63">
        <f>$D160-J159</f>
        <v>0</v>
      </c>
      <c r="K160" s="63">
        <f t="shared" ref="K160:AI160" si="123">IF(J160-K159&gt;0,J160-K159,0)</f>
        <v>0</v>
      </c>
      <c r="L160" s="63">
        <f t="shared" si="123"/>
        <v>0</v>
      </c>
      <c r="M160" s="63">
        <f t="shared" si="123"/>
        <v>0</v>
      </c>
      <c r="N160" s="63">
        <f t="shared" si="123"/>
        <v>0</v>
      </c>
      <c r="O160" s="63">
        <f t="shared" si="123"/>
        <v>0</v>
      </c>
      <c r="P160" s="63">
        <f t="shared" si="123"/>
        <v>0</v>
      </c>
      <c r="Q160" s="63">
        <f t="shared" si="123"/>
        <v>0</v>
      </c>
      <c r="R160" s="63">
        <f t="shared" si="123"/>
        <v>0</v>
      </c>
      <c r="S160" s="63">
        <f t="shared" si="123"/>
        <v>0</v>
      </c>
      <c r="T160" s="63">
        <f t="shared" si="123"/>
        <v>0</v>
      </c>
      <c r="U160" s="63">
        <f t="shared" si="123"/>
        <v>0</v>
      </c>
      <c r="V160" s="63">
        <f t="shared" si="123"/>
        <v>0</v>
      </c>
      <c r="W160" s="63">
        <f t="shared" si="123"/>
        <v>0</v>
      </c>
      <c r="X160" s="63">
        <f t="shared" si="123"/>
        <v>0</v>
      </c>
      <c r="Y160" s="63">
        <f t="shared" si="123"/>
        <v>0</v>
      </c>
      <c r="Z160" s="63">
        <f t="shared" si="123"/>
        <v>0</v>
      </c>
      <c r="AA160" s="63">
        <f t="shared" si="123"/>
        <v>0</v>
      </c>
      <c r="AB160" s="63">
        <f t="shared" si="123"/>
        <v>0</v>
      </c>
      <c r="AC160" s="63">
        <f t="shared" si="123"/>
        <v>0</v>
      </c>
      <c r="AD160" s="63">
        <f t="shared" si="123"/>
        <v>0</v>
      </c>
      <c r="AE160" s="63">
        <f t="shared" si="123"/>
        <v>0</v>
      </c>
      <c r="AF160" s="63">
        <f t="shared" si="123"/>
        <v>0</v>
      </c>
      <c r="AG160" s="63">
        <f t="shared" si="123"/>
        <v>0</v>
      </c>
      <c r="AH160" s="63">
        <f t="shared" si="123"/>
        <v>0</v>
      </c>
      <c r="AI160" s="79">
        <f t="shared" si="123"/>
        <v>0</v>
      </c>
    </row>
    <row r="161" spans="1:160" s="80" customFormat="1">
      <c r="A161" s="95" t="str">
        <f>K145</f>
        <v>Anno 7</v>
      </c>
      <c r="B161" s="80" t="str">
        <f>$B147</f>
        <v>Attrezzature</v>
      </c>
      <c r="C161" s="81">
        <f>$C$147</f>
        <v>0</v>
      </c>
      <c r="D161" s="52"/>
      <c r="E161" s="85"/>
      <c r="F161" s="64"/>
      <c r="G161" s="64"/>
      <c r="H161" s="64"/>
      <c r="I161" s="64"/>
      <c r="J161" s="87"/>
      <c r="K161" s="64">
        <f>IF($D161*$C161&gt;=$D162,$D162,$D161*$C161)</f>
        <v>0</v>
      </c>
      <c r="L161" s="64">
        <f t="shared" ref="L161:AI161" si="124">IF($D161*$C161&gt;=K162,K162,$D161*$C161)</f>
        <v>0</v>
      </c>
      <c r="M161" s="64">
        <f t="shared" si="124"/>
        <v>0</v>
      </c>
      <c r="N161" s="64">
        <f t="shared" si="124"/>
        <v>0</v>
      </c>
      <c r="O161" s="64">
        <f t="shared" si="124"/>
        <v>0</v>
      </c>
      <c r="P161" s="64">
        <f t="shared" si="124"/>
        <v>0</v>
      </c>
      <c r="Q161" s="64">
        <f t="shared" si="124"/>
        <v>0</v>
      </c>
      <c r="R161" s="64">
        <f t="shared" si="124"/>
        <v>0</v>
      </c>
      <c r="S161" s="64">
        <f t="shared" si="124"/>
        <v>0</v>
      </c>
      <c r="T161" s="64">
        <f t="shared" si="124"/>
        <v>0</v>
      </c>
      <c r="U161" s="64">
        <f t="shared" si="124"/>
        <v>0</v>
      </c>
      <c r="V161" s="64">
        <f t="shared" si="124"/>
        <v>0</v>
      </c>
      <c r="W161" s="64">
        <f t="shared" si="124"/>
        <v>0</v>
      </c>
      <c r="X161" s="64">
        <f t="shared" si="124"/>
        <v>0</v>
      </c>
      <c r="Y161" s="64">
        <f t="shared" si="124"/>
        <v>0</v>
      </c>
      <c r="Z161" s="64">
        <f t="shared" si="124"/>
        <v>0</v>
      </c>
      <c r="AA161" s="64">
        <f t="shared" si="124"/>
        <v>0</v>
      </c>
      <c r="AB161" s="64">
        <f t="shared" si="124"/>
        <v>0</v>
      </c>
      <c r="AC161" s="64">
        <f t="shared" si="124"/>
        <v>0</v>
      </c>
      <c r="AD161" s="64">
        <f t="shared" si="124"/>
        <v>0</v>
      </c>
      <c r="AE161" s="64">
        <f t="shared" si="124"/>
        <v>0</v>
      </c>
      <c r="AF161" s="64">
        <f t="shared" si="124"/>
        <v>0</v>
      </c>
      <c r="AG161" s="64">
        <f t="shared" si="124"/>
        <v>0</v>
      </c>
      <c r="AH161" s="64">
        <f t="shared" si="124"/>
        <v>0</v>
      </c>
      <c r="AI161" s="86">
        <f t="shared" si="124"/>
        <v>0</v>
      </c>
      <c r="FD161" s="59"/>
    </row>
    <row r="162" spans="1:160">
      <c r="A162" s="60" t="str">
        <f>K145</f>
        <v>Anno 7</v>
      </c>
      <c r="B162" s="59" t="s">
        <v>61</v>
      </c>
      <c r="C162" s="81"/>
      <c r="D162" s="52">
        <f>D161</f>
        <v>0</v>
      </c>
      <c r="E162" s="78"/>
      <c r="K162" s="63">
        <f>$D162-K161</f>
        <v>0</v>
      </c>
      <c r="L162" s="63">
        <f t="shared" ref="L162:AI162" si="125">IF(K162-L161&gt;0,K162-L161,0)</f>
        <v>0</v>
      </c>
      <c r="M162" s="63">
        <f t="shared" si="125"/>
        <v>0</v>
      </c>
      <c r="N162" s="63">
        <f t="shared" si="125"/>
        <v>0</v>
      </c>
      <c r="O162" s="63">
        <f t="shared" si="125"/>
        <v>0</v>
      </c>
      <c r="P162" s="63">
        <f t="shared" si="125"/>
        <v>0</v>
      </c>
      <c r="Q162" s="63">
        <f t="shared" si="125"/>
        <v>0</v>
      </c>
      <c r="R162" s="63">
        <f t="shared" si="125"/>
        <v>0</v>
      </c>
      <c r="S162" s="63">
        <f t="shared" si="125"/>
        <v>0</v>
      </c>
      <c r="T162" s="63">
        <f t="shared" si="125"/>
        <v>0</v>
      </c>
      <c r="U162" s="63">
        <f t="shared" si="125"/>
        <v>0</v>
      </c>
      <c r="V162" s="63">
        <f t="shared" si="125"/>
        <v>0</v>
      </c>
      <c r="W162" s="63">
        <f t="shared" si="125"/>
        <v>0</v>
      </c>
      <c r="X162" s="63">
        <f t="shared" si="125"/>
        <v>0</v>
      </c>
      <c r="Y162" s="63">
        <f t="shared" si="125"/>
        <v>0</v>
      </c>
      <c r="Z162" s="63">
        <f t="shared" si="125"/>
        <v>0</v>
      </c>
      <c r="AA162" s="63">
        <f t="shared" si="125"/>
        <v>0</v>
      </c>
      <c r="AB162" s="63">
        <f t="shared" si="125"/>
        <v>0</v>
      </c>
      <c r="AC162" s="63">
        <f t="shared" si="125"/>
        <v>0</v>
      </c>
      <c r="AD162" s="63">
        <f t="shared" si="125"/>
        <v>0</v>
      </c>
      <c r="AE162" s="63">
        <f t="shared" si="125"/>
        <v>0</v>
      </c>
      <c r="AF162" s="63">
        <f t="shared" si="125"/>
        <v>0</v>
      </c>
      <c r="AG162" s="63">
        <f t="shared" si="125"/>
        <v>0</v>
      </c>
      <c r="AH162" s="63">
        <f t="shared" si="125"/>
        <v>0</v>
      </c>
      <c r="AI162" s="79">
        <f t="shared" si="125"/>
        <v>0</v>
      </c>
    </row>
    <row r="163" spans="1:160" s="80" customFormat="1">
      <c r="A163" s="95" t="str">
        <f>L145</f>
        <v>Anno 8</v>
      </c>
      <c r="B163" s="80" t="str">
        <f>$B147</f>
        <v>Attrezzature</v>
      </c>
      <c r="C163" s="81">
        <f>$C$147</f>
        <v>0</v>
      </c>
      <c r="D163" s="52">
        <f>Ipotesi!J32</f>
        <v>0</v>
      </c>
      <c r="E163" s="85"/>
      <c r="F163" s="64"/>
      <c r="G163" s="64"/>
      <c r="H163" s="64"/>
      <c r="I163" s="64"/>
      <c r="J163" s="87"/>
      <c r="K163" s="87"/>
      <c r="L163" s="64">
        <f>IF($D163*$C163&gt;=$D164,$D164,$D163*$C163)</f>
        <v>0</v>
      </c>
      <c r="M163" s="64">
        <f t="shared" ref="M163:AI163" si="126">IF($D163*$C163&gt;=L164,L164,$D163*$C163)</f>
        <v>0</v>
      </c>
      <c r="N163" s="64">
        <f t="shared" si="126"/>
        <v>0</v>
      </c>
      <c r="O163" s="64">
        <f t="shared" si="126"/>
        <v>0</v>
      </c>
      <c r="P163" s="64">
        <f t="shared" si="126"/>
        <v>0</v>
      </c>
      <c r="Q163" s="64">
        <f t="shared" si="126"/>
        <v>0</v>
      </c>
      <c r="R163" s="64">
        <f t="shared" si="126"/>
        <v>0</v>
      </c>
      <c r="S163" s="64">
        <f t="shared" si="126"/>
        <v>0</v>
      </c>
      <c r="T163" s="64">
        <f t="shared" si="126"/>
        <v>0</v>
      </c>
      <c r="U163" s="64">
        <f t="shared" si="126"/>
        <v>0</v>
      </c>
      <c r="V163" s="64">
        <f t="shared" si="126"/>
        <v>0</v>
      </c>
      <c r="W163" s="64">
        <f t="shared" si="126"/>
        <v>0</v>
      </c>
      <c r="X163" s="64">
        <f t="shared" si="126"/>
        <v>0</v>
      </c>
      <c r="Y163" s="64">
        <f t="shared" si="126"/>
        <v>0</v>
      </c>
      <c r="Z163" s="64">
        <f t="shared" si="126"/>
        <v>0</v>
      </c>
      <c r="AA163" s="64">
        <f t="shared" si="126"/>
        <v>0</v>
      </c>
      <c r="AB163" s="64">
        <f t="shared" si="126"/>
        <v>0</v>
      </c>
      <c r="AC163" s="64">
        <f t="shared" si="126"/>
        <v>0</v>
      </c>
      <c r="AD163" s="64">
        <f t="shared" si="126"/>
        <v>0</v>
      </c>
      <c r="AE163" s="64">
        <f t="shared" si="126"/>
        <v>0</v>
      </c>
      <c r="AF163" s="64">
        <f t="shared" si="126"/>
        <v>0</v>
      </c>
      <c r="AG163" s="64">
        <f t="shared" si="126"/>
        <v>0</v>
      </c>
      <c r="AH163" s="64">
        <f t="shared" si="126"/>
        <v>0</v>
      </c>
      <c r="AI163" s="86">
        <f t="shared" si="126"/>
        <v>0</v>
      </c>
      <c r="FD163" s="59"/>
    </row>
    <row r="164" spans="1:160">
      <c r="A164" s="60" t="str">
        <f>L145</f>
        <v>Anno 8</v>
      </c>
      <c r="B164" s="59" t="s">
        <v>61</v>
      </c>
      <c r="C164" s="81"/>
      <c r="D164" s="52">
        <f>D163</f>
        <v>0</v>
      </c>
      <c r="E164" s="78"/>
      <c r="L164" s="63">
        <f>$D164-L163</f>
        <v>0</v>
      </c>
      <c r="M164" s="63">
        <f t="shared" ref="M164:AI164" si="127">IF(L164-M163&gt;0,L164-M163,0)</f>
        <v>0</v>
      </c>
      <c r="N164" s="63">
        <f t="shared" si="127"/>
        <v>0</v>
      </c>
      <c r="O164" s="63">
        <f t="shared" si="127"/>
        <v>0</v>
      </c>
      <c r="P164" s="63">
        <f t="shared" si="127"/>
        <v>0</v>
      </c>
      <c r="Q164" s="63">
        <f t="shared" si="127"/>
        <v>0</v>
      </c>
      <c r="R164" s="63">
        <f t="shared" si="127"/>
        <v>0</v>
      </c>
      <c r="S164" s="63">
        <f t="shared" si="127"/>
        <v>0</v>
      </c>
      <c r="T164" s="63">
        <f t="shared" si="127"/>
        <v>0</v>
      </c>
      <c r="U164" s="63">
        <f t="shared" si="127"/>
        <v>0</v>
      </c>
      <c r="V164" s="63">
        <f t="shared" si="127"/>
        <v>0</v>
      </c>
      <c r="W164" s="63">
        <f t="shared" si="127"/>
        <v>0</v>
      </c>
      <c r="X164" s="63">
        <f t="shared" si="127"/>
        <v>0</v>
      </c>
      <c r="Y164" s="63">
        <f t="shared" si="127"/>
        <v>0</v>
      </c>
      <c r="Z164" s="63">
        <f t="shared" si="127"/>
        <v>0</v>
      </c>
      <c r="AA164" s="63">
        <f t="shared" si="127"/>
        <v>0</v>
      </c>
      <c r="AB164" s="63">
        <f t="shared" si="127"/>
        <v>0</v>
      </c>
      <c r="AC164" s="63">
        <f t="shared" si="127"/>
        <v>0</v>
      </c>
      <c r="AD164" s="63">
        <f t="shared" si="127"/>
        <v>0</v>
      </c>
      <c r="AE164" s="63">
        <f t="shared" si="127"/>
        <v>0</v>
      </c>
      <c r="AF164" s="63">
        <f t="shared" si="127"/>
        <v>0</v>
      </c>
      <c r="AG164" s="63">
        <f t="shared" si="127"/>
        <v>0</v>
      </c>
      <c r="AH164" s="63">
        <f t="shared" si="127"/>
        <v>0</v>
      </c>
      <c r="AI164" s="79">
        <f t="shared" si="127"/>
        <v>0</v>
      </c>
    </row>
    <row r="165" spans="1:160" s="80" customFormat="1">
      <c r="A165" s="95" t="str">
        <f>M145</f>
        <v>Anno 9</v>
      </c>
      <c r="B165" s="80" t="str">
        <f>$B147</f>
        <v>Attrezzature</v>
      </c>
      <c r="C165" s="81">
        <f>$C$147</f>
        <v>0</v>
      </c>
      <c r="D165" s="52"/>
      <c r="E165" s="85"/>
      <c r="F165" s="64"/>
      <c r="G165" s="64"/>
      <c r="H165" s="64"/>
      <c r="I165" s="64"/>
      <c r="J165" s="87"/>
      <c r="K165" s="87"/>
      <c r="L165" s="87"/>
      <c r="M165" s="64">
        <f>IF($D165*$C165&gt;=$D166,$D166,$D165*$C165)</f>
        <v>0</v>
      </c>
      <c r="N165" s="64">
        <f t="shared" ref="N165:AI165" si="128">IF($D165*$C165&gt;=M166,M166,$D165*$C165)</f>
        <v>0</v>
      </c>
      <c r="O165" s="64">
        <f t="shared" si="128"/>
        <v>0</v>
      </c>
      <c r="P165" s="64">
        <f t="shared" si="128"/>
        <v>0</v>
      </c>
      <c r="Q165" s="64">
        <f t="shared" si="128"/>
        <v>0</v>
      </c>
      <c r="R165" s="64">
        <f t="shared" si="128"/>
        <v>0</v>
      </c>
      <c r="S165" s="64">
        <f t="shared" si="128"/>
        <v>0</v>
      </c>
      <c r="T165" s="64">
        <f t="shared" si="128"/>
        <v>0</v>
      </c>
      <c r="U165" s="64">
        <f t="shared" si="128"/>
        <v>0</v>
      </c>
      <c r="V165" s="64">
        <f t="shared" si="128"/>
        <v>0</v>
      </c>
      <c r="W165" s="64">
        <f t="shared" si="128"/>
        <v>0</v>
      </c>
      <c r="X165" s="64">
        <f t="shared" si="128"/>
        <v>0</v>
      </c>
      <c r="Y165" s="64">
        <f t="shared" si="128"/>
        <v>0</v>
      </c>
      <c r="Z165" s="64">
        <f t="shared" si="128"/>
        <v>0</v>
      </c>
      <c r="AA165" s="64">
        <f t="shared" si="128"/>
        <v>0</v>
      </c>
      <c r="AB165" s="64">
        <f t="shared" si="128"/>
        <v>0</v>
      </c>
      <c r="AC165" s="64">
        <f t="shared" si="128"/>
        <v>0</v>
      </c>
      <c r="AD165" s="64">
        <f t="shared" si="128"/>
        <v>0</v>
      </c>
      <c r="AE165" s="64">
        <f t="shared" si="128"/>
        <v>0</v>
      </c>
      <c r="AF165" s="64">
        <f t="shared" si="128"/>
        <v>0</v>
      </c>
      <c r="AG165" s="64">
        <f t="shared" si="128"/>
        <v>0</v>
      </c>
      <c r="AH165" s="64">
        <f t="shared" si="128"/>
        <v>0</v>
      </c>
      <c r="AI165" s="86">
        <f t="shared" si="128"/>
        <v>0</v>
      </c>
      <c r="FD165" s="59"/>
    </row>
    <row r="166" spans="1:160">
      <c r="A166" s="60" t="str">
        <f>M145</f>
        <v>Anno 9</v>
      </c>
      <c r="B166" s="59" t="s">
        <v>61</v>
      </c>
      <c r="C166" s="81"/>
      <c r="D166" s="52">
        <f>D165</f>
        <v>0</v>
      </c>
      <c r="E166" s="78"/>
      <c r="M166" s="63">
        <f>$D166-M165</f>
        <v>0</v>
      </c>
      <c r="N166" s="63">
        <f t="shared" ref="N166:AI166" si="129">IF(M166-N165&gt;0,M166-N165,0)</f>
        <v>0</v>
      </c>
      <c r="O166" s="63">
        <f t="shared" si="129"/>
        <v>0</v>
      </c>
      <c r="P166" s="63">
        <f t="shared" si="129"/>
        <v>0</v>
      </c>
      <c r="Q166" s="63">
        <f t="shared" si="129"/>
        <v>0</v>
      </c>
      <c r="R166" s="63">
        <f t="shared" si="129"/>
        <v>0</v>
      </c>
      <c r="S166" s="63">
        <f t="shared" si="129"/>
        <v>0</v>
      </c>
      <c r="T166" s="63">
        <f t="shared" si="129"/>
        <v>0</v>
      </c>
      <c r="U166" s="63">
        <f t="shared" si="129"/>
        <v>0</v>
      </c>
      <c r="V166" s="63">
        <f t="shared" si="129"/>
        <v>0</v>
      </c>
      <c r="W166" s="63">
        <f t="shared" si="129"/>
        <v>0</v>
      </c>
      <c r="X166" s="63">
        <f t="shared" si="129"/>
        <v>0</v>
      </c>
      <c r="Y166" s="63">
        <f t="shared" si="129"/>
        <v>0</v>
      </c>
      <c r="Z166" s="63">
        <f t="shared" si="129"/>
        <v>0</v>
      </c>
      <c r="AA166" s="63">
        <f t="shared" si="129"/>
        <v>0</v>
      </c>
      <c r="AB166" s="63">
        <f t="shared" si="129"/>
        <v>0</v>
      </c>
      <c r="AC166" s="63">
        <f t="shared" si="129"/>
        <v>0</v>
      </c>
      <c r="AD166" s="63">
        <f t="shared" si="129"/>
        <v>0</v>
      </c>
      <c r="AE166" s="63">
        <f t="shared" si="129"/>
        <v>0</v>
      </c>
      <c r="AF166" s="63">
        <f t="shared" si="129"/>
        <v>0</v>
      </c>
      <c r="AG166" s="63">
        <f t="shared" si="129"/>
        <v>0</v>
      </c>
      <c r="AH166" s="63">
        <f t="shared" si="129"/>
        <v>0</v>
      </c>
      <c r="AI166" s="79">
        <f t="shared" si="129"/>
        <v>0</v>
      </c>
    </row>
    <row r="167" spans="1:160" s="80" customFormat="1">
      <c r="A167" s="95" t="str">
        <f>N145</f>
        <v>Anno 10</v>
      </c>
      <c r="B167" s="80" t="str">
        <f>$B147</f>
        <v>Attrezzature</v>
      </c>
      <c r="C167" s="81">
        <f>$C$147</f>
        <v>0</v>
      </c>
      <c r="D167" s="52"/>
      <c r="E167" s="85"/>
      <c r="F167" s="64"/>
      <c r="G167" s="64"/>
      <c r="H167" s="64"/>
      <c r="I167" s="64"/>
      <c r="J167" s="87"/>
      <c r="K167" s="87"/>
      <c r="L167" s="87"/>
      <c r="M167" s="87"/>
      <c r="N167" s="64">
        <f>IF($D167*$C167&gt;=$D168,$D168,$D167*$C167)</f>
        <v>0</v>
      </c>
      <c r="O167" s="64">
        <f t="shared" ref="O167:AI167" si="130">IF($D167*$C167&gt;=N168,N168,$D167*$C167)</f>
        <v>0</v>
      </c>
      <c r="P167" s="64">
        <f t="shared" si="130"/>
        <v>0</v>
      </c>
      <c r="Q167" s="64">
        <f t="shared" si="130"/>
        <v>0</v>
      </c>
      <c r="R167" s="64">
        <f t="shared" si="130"/>
        <v>0</v>
      </c>
      <c r="S167" s="64">
        <f t="shared" si="130"/>
        <v>0</v>
      </c>
      <c r="T167" s="64">
        <f t="shared" si="130"/>
        <v>0</v>
      </c>
      <c r="U167" s="64">
        <f t="shared" si="130"/>
        <v>0</v>
      </c>
      <c r="V167" s="64">
        <f t="shared" si="130"/>
        <v>0</v>
      </c>
      <c r="W167" s="64">
        <f t="shared" si="130"/>
        <v>0</v>
      </c>
      <c r="X167" s="64">
        <f t="shared" si="130"/>
        <v>0</v>
      </c>
      <c r="Y167" s="64">
        <f t="shared" si="130"/>
        <v>0</v>
      </c>
      <c r="Z167" s="64">
        <f t="shared" si="130"/>
        <v>0</v>
      </c>
      <c r="AA167" s="64">
        <f t="shared" si="130"/>
        <v>0</v>
      </c>
      <c r="AB167" s="64">
        <f t="shared" si="130"/>
        <v>0</v>
      </c>
      <c r="AC167" s="64">
        <f t="shared" si="130"/>
        <v>0</v>
      </c>
      <c r="AD167" s="64">
        <f t="shared" si="130"/>
        <v>0</v>
      </c>
      <c r="AE167" s="64">
        <f t="shared" si="130"/>
        <v>0</v>
      </c>
      <c r="AF167" s="64">
        <f t="shared" si="130"/>
        <v>0</v>
      </c>
      <c r="AG167" s="64">
        <f t="shared" si="130"/>
        <v>0</v>
      </c>
      <c r="AH167" s="64">
        <f t="shared" si="130"/>
        <v>0</v>
      </c>
      <c r="AI167" s="86">
        <f t="shared" si="130"/>
        <v>0</v>
      </c>
      <c r="FD167" s="59"/>
    </row>
    <row r="168" spans="1:160">
      <c r="A168" s="60" t="str">
        <f>N145</f>
        <v>Anno 10</v>
      </c>
      <c r="B168" s="59" t="s">
        <v>61</v>
      </c>
      <c r="C168" s="81"/>
      <c r="D168" s="52">
        <f>D167</f>
        <v>0</v>
      </c>
      <c r="E168" s="78"/>
      <c r="N168" s="63">
        <f>$D168-N167</f>
        <v>0</v>
      </c>
      <c r="O168" s="63">
        <f t="shared" ref="O168:AI168" si="131">IF(N168-O167&gt;0,N168-O167,0)</f>
        <v>0</v>
      </c>
      <c r="P168" s="63">
        <f t="shared" si="131"/>
        <v>0</v>
      </c>
      <c r="Q168" s="63">
        <f t="shared" si="131"/>
        <v>0</v>
      </c>
      <c r="R168" s="63">
        <f t="shared" si="131"/>
        <v>0</v>
      </c>
      <c r="S168" s="63">
        <f t="shared" si="131"/>
        <v>0</v>
      </c>
      <c r="T168" s="63">
        <f t="shared" si="131"/>
        <v>0</v>
      </c>
      <c r="U168" s="63">
        <f t="shared" si="131"/>
        <v>0</v>
      </c>
      <c r="V168" s="63">
        <f t="shared" si="131"/>
        <v>0</v>
      </c>
      <c r="W168" s="63">
        <f t="shared" si="131"/>
        <v>0</v>
      </c>
      <c r="X168" s="63">
        <f t="shared" si="131"/>
        <v>0</v>
      </c>
      <c r="Y168" s="63">
        <f t="shared" si="131"/>
        <v>0</v>
      </c>
      <c r="Z168" s="63">
        <f t="shared" si="131"/>
        <v>0</v>
      </c>
      <c r="AA168" s="63">
        <f t="shared" si="131"/>
        <v>0</v>
      </c>
      <c r="AB168" s="63">
        <f t="shared" si="131"/>
        <v>0</v>
      </c>
      <c r="AC168" s="63">
        <f t="shared" si="131"/>
        <v>0</v>
      </c>
      <c r="AD168" s="63">
        <f t="shared" si="131"/>
        <v>0</v>
      </c>
      <c r="AE168" s="63">
        <f t="shared" si="131"/>
        <v>0</v>
      </c>
      <c r="AF168" s="63">
        <f t="shared" si="131"/>
        <v>0</v>
      </c>
      <c r="AG168" s="63">
        <f t="shared" si="131"/>
        <v>0</v>
      </c>
      <c r="AH168" s="63">
        <f t="shared" si="131"/>
        <v>0</v>
      </c>
      <c r="AI168" s="79">
        <f t="shared" si="131"/>
        <v>0</v>
      </c>
    </row>
    <row r="169" spans="1:160" s="80" customFormat="1">
      <c r="A169" s="95" t="str">
        <f>O145</f>
        <v>Anno 11</v>
      </c>
      <c r="B169" s="80" t="str">
        <f>$B147</f>
        <v>Attrezzature</v>
      </c>
      <c r="C169" s="81">
        <f>$C$147</f>
        <v>0</v>
      </c>
      <c r="D169" s="52"/>
      <c r="E169" s="85"/>
      <c r="F169" s="64"/>
      <c r="G169" s="64"/>
      <c r="H169" s="64"/>
      <c r="I169" s="64"/>
      <c r="J169" s="87"/>
      <c r="K169" s="87"/>
      <c r="L169" s="87"/>
      <c r="M169" s="87"/>
      <c r="N169" s="87"/>
      <c r="O169" s="64">
        <f>IF($D169*$C169&gt;=$D170,$D170,$D169*$C169)</f>
        <v>0</v>
      </c>
      <c r="P169" s="64">
        <f t="shared" ref="P169:AI169" si="132">IF($D169*$C169&gt;=O170,O170,$D169*$C169)</f>
        <v>0</v>
      </c>
      <c r="Q169" s="64">
        <f t="shared" si="132"/>
        <v>0</v>
      </c>
      <c r="R169" s="64">
        <f t="shared" si="132"/>
        <v>0</v>
      </c>
      <c r="S169" s="64">
        <f t="shared" si="132"/>
        <v>0</v>
      </c>
      <c r="T169" s="64">
        <f t="shared" si="132"/>
        <v>0</v>
      </c>
      <c r="U169" s="64">
        <f t="shared" si="132"/>
        <v>0</v>
      </c>
      <c r="V169" s="64">
        <f t="shared" si="132"/>
        <v>0</v>
      </c>
      <c r="W169" s="64">
        <f t="shared" si="132"/>
        <v>0</v>
      </c>
      <c r="X169" s="64">
        <f t="shared" si="132"/>
        <v>0</v>
      </c>
      <c r="Y169" s="64">
        <f t="shared" si="132"/>
        <v>0</v>
      </c>
      <c r="Z169" s="64">
        <f t="shared" si="132"/>
        <v>0</v>
      </c>
      <c r="AA169" s="64">
        <f t="shared" si="132"/>
        <v>0</v>
      </c>
      <c r="AB169" s="64">
        <f t="shared" si="132"/>
        <v>0</v>
      </c>
      <c r="AC169" s="64">
        <f t="shared" si="132"/>
        <v>0</v>
      </c>
      <c r="AD169" s="64">
        <f t="shared" si="132"/>
        <v>0</v>
      </c>
      <c r="AE169" s="64">
        <f t="shared" si="132"/>
        <v>0</v>
      </c>
      <c r="AF169" s="64">
        <f t="shared" si="132"/>
        <v>0</v>
      </c>
      <c r="AG169" s="64">
        <f t="shared" si="132"/>
        <v>0</v>
      </c>
      <c r="AH169" s="64">
        <f t="shared" si="132"/>
        <v>0</v>
      </c>
      <c r="AI169" s="86">
        <f t="shared" si="132"/>
        <v>0</v>
      </c>
      <c r="FD169" s="59"/>
    </row>
    <row r="170" spans="1:160">
      <c r="A170" s="60" t="str">
        <f>O145</f>
        <v>Anno 11</v>
      </c>
      <c r="B170" s="59" t="s">
        <v>61</v>
      </c>
      <c r="C170" s="81"/>
      <c r="D170" s="52">
        <f>D169</f>
        <v>0</v>
      </c>
      <c r="E170" s="78"/>
      <c r="O170" s="63">
        <f>$D170-O169</f>
        <v>0</v>
      </c>
      <c r="P170" s="63">
        <f t="shared" ref="P170:AI170" si="133">IF(O170-P169&gt;0,O170-P169,0)</f>
        <v>0</v>
      </c>
      <c r="Q170" s="63">
        <f t="shared" si="133"/>
        <v>0</v>
      </c>
      <c r="R170" s="63">
        <f t="shared" si="133"/>
        <v>0</v>
      </c>
      <c r="S170" s="63">
        <f t="shared" si="133"/>
        <v>0</v>
      </c>
      <c r="T170" s="63">
        <f t="shared" si="133"/>
        <v>0</v>
      </c>
      <c r="U170" s="63">
        <f t="shared" si="133"/>
        <v>0</v>
      </c>
      <c r="V170" s="63">
        <f t="shared" si="133"/>
        <v>0</v>
      </c>
      <c r="W170" s="63">
        <f t="shared" si="133"/>
        <v>0</v>
      </c>
      <c r="X170" s="63">
        <f t="shared" si="133"/>
        <v>0</v>
      </c>
      <c r="Y170" s="63">
        <f t="shared" si="133"/>
        <v>0</v>
      </c>
      <c r="Z170" s="63">
        <f t="shared" si="133"/>
        <v>0</v>
      </c>
      <c r="AA170" s="63">
        <f t="shared" si="133"/>
        <v>0</v>
      </c>
      <c r="AB170" s="63">
        <f t="shared" si="133"/>
        <v>0</v>
      </c>
      <c r="AC170" s="63">
        <f t="shared" si="133"/>
        <v>0</v>
      </c>
      <c r="AD170" s="63">
        <f t="shared" si="133"/>
        <v>0</v>
      </c>
      <c r="AE170" s="63">
        <f t="shared" si="133"/>
        <v>0</v>
      </c>
      <c r="AF170" s="63">
        <f t="shared" si="133"/>
        <v>0</v>
      </c>
      <c r="AG170" s="63">
        <f t="shared" si="133"/>
        <v>0</v>
      </c>
      <c r="AH170" s="63">
        <f t="shared" si="133"/>
        <v>0</v>
      </c>
      <c r="AI170" s="79">
        <f t="shared" si="133"/>
        <v>0</v>
      </c>
    </row>
    <row r="171" spans="1:160" s="80" customFormat="1">
      <c r="A171" s="95" t="str">
        <f>P145</f>
        <v>Anno 12</v>
      </c>
      <c r="B171" s="80" t="str">
        <f>$B147</f>
        <v>Attrezzature</v>
      </c>
      <c r="C171" s="81">
        <f>$C$147</f>
        <v>0</v>
      </c>
      <c r="D171" s="52"/>
      <c r="E171" s="85"/>
      <c r="F171" s="64"/>
      <c r="G171" s="64"/>
      <c r="H171" s="64"/>
      <c r="I171" s="64"/>
      <c r="J171" s="87"/>
      <c r="K171" s="87"/>
      <c r="L171" s="87"/>
      <c r="M171" s="87"/>
      <c r="N171" s="87"/>
      <c r="O171" s="87"/>
      <c r="P171" s="64">
        <f>IF($D171*$C171&gt;=$D172,$D172,$D171*$C171)</f>
        <v>0</v>
      </c>
      <c r="Q171" s="64">
        <f t="shared" ref="Q171:AI171" si="134">IF($D171*$C171&gt;=P172,P172,$D171*$C171)</f>
        <v>0</v>
      </c>
      <c r="R171" s="64">
        <f t="shared" si="134"/>
        <v>0</v>
      </c>
      <c r="S171" s="64">
        <f t="shared" si="134"/>
        <v>0</v>
      </c>
      <c r="T171" s="64">
        <f t="shared" si="134"/>
        <v>0</v>
      </c>
      <c r="U171" s="64">
        <f t="shared" si="134"/>
        <v>0</v>
      </c>
      <c r="V171" s="64">
        <f t="shared" si="134"/>
        <v>0</v>
      </c>
      <c r="W171" s="64">
        <f t="shared" si="134"/>
        <v>0</v>
      </c>
      <c r="X171" s="64">
        <f t="shared" si="134"/>
        <v>0</v>
      </c>
      <c r="Y171" s="64">
        <f t="shared" si="134"/>
        <v>0</v>
      </c>
      <c r="Z171" s="64">
        <f t="shared" si="134"/>
        <v>0</v>
      </c>
      <c r="AA171" s="64">
        <f t="shared" si="134"/>
        <v>0</v>
      </c>
      <c r="AB171" s="64">
        <f t="shared" si="134"/>
        <v>0</v>
      </c>
      <c r="AC171" s="64">
        <f t="shared" si="134"/>
        <v>0</v>
      </c>
      <c r="AD171" s="64">
        <f t="shared" si="134"/>
        <v>0</v>
      </c>
      <c r="AE171" s="64">
        <f t="shared" si="134"/>
        <v>0</v>
      </c>
      <c r="AF171" s="64">
        <f t="shared" si="134"/>
        <v>0</v>
      </c>
      <c r="AG171" s="64">
        <f t="shared" si="134"/>
        <v>0</v>
      </c>
      <c r="AH171" s="64">
        <f t="shared" si="134"/>
        <v>0</v>
      </c>
      <c r="AI171" s="86">
        <f t="shared" si="134"/>
        <v>0</v>
      </c>
      <c r="FD171" s="59"/>
    </row>
    <row r="172" spans="1:160">
      <c r="A172" s="60" t="str">
        <f>P145</f>
        <v>Anno 12</v>
      </c>
      <c r="B172" s="59" t="s">
        <v>61</v>
      </c>
      <c r="C172" s="88"/>
      <c r="D172" s="52">
        <f>D171</f>
        <v>0</v>
      </c>
      <c r="E172" s="78"/>
      <c r="P172" s="63">
        <f>$D172-P171</f>
        <v>0</v>
      </c>
      <c r="Q172" s="63">
        <f t="shared" ref="Q172:AI172" si="135">IF(P172-Q171&gt;0,P172-Q171,0)</f>
        <v>0</v>
      </c>
      <c r="R172" s="63">
        <f t="shared" si="135"/>
        <v>0</v>
      </c>
      <c r="S172" s="63">
        <f t="shared" si="135"/>
        <v>0</v>
      </c>
      <c r="T172" s="63">
        <f t="shared" si="135"/>
        <v>0</v>
      </c>
      <c r="U172" s="63">
        <f t="shared" si="135"/>
        <v>0</v>
      </c>
      <c r="V172" s="63">
        <f t="shared" si="135"/>
        <v>0</v>
      </c>
      <c r="W172" s="63">
        <f t="shared" si="135"/>
        <v>0</v>
      </c>
      <c r="X172" s="63">
        <f t="shared" si="135"/>
        <v>0</v>
      </c>
      <c r="Y172" s="63">
        <f t="shared" si="135"/>
        <v>0</v>
      </c>
      <c r="Z172" s="63">
        <f t="shared" si="135"/>
        <v>0</v>
      </c>
      <c r="AA172" s="63">
        <f t="shared" si="135"/>
        <v>0</v>
      </c>
      <c r="AB172" s="63">
        <f t="shared" si="135"/>
        <v>0</v>
      </c>
      <c r="AC172" s="63">
        <f t="shared" si="135"/>
        <v>0</v>
      </c>
      <c r="AD172" s="63">
        <f t="shared" si="135"/>
        <v>0</v>
      </c>
      <c r="AE172" s="63">
        <f t="shared" si="135"/>
        <v>0</v>
      </c>
      <c r="AF172" s="63">
        <f t="shared" si="135"/>
        <v>0</v>
      </c>
      <c r="AG172" s="63">
        <f t="shared" si="135"/>
        <v>0</v>
      </c>
      <c r="AH172" s="63">
        <f t="shared" si="135"/>
        <v>0</v>
      </c>
      <c r="AI172" s="79">
        <f t="shared" si="135"/>
        <v>0</v>
      </c>
    </row>
    <row r="173" spans="1:160">
      <c r="A173" s="95" t="str">
        <f>Q145</f>
        <v>Anno 13</v>
      </c>
      <c r="B173" s="80" t="str">
        <f>$B171</f>
        <v>Attrezzature</v>
      </c>
      <c r="C173" s="81">
        <f>$C$147</f>
        <v>0</v>
      </c>
      <c r="D173" s="52"/>
      <c r="E173" s="78"/>
      <c r="Q173" s="64">
        <f>IF($D173*$C173&gt;=$D174,$D174,$D173*$C173)</f>
        <v>0</v>
      </c>
      <c r="R173" s="64">
        <f t="shared" ref="R173:AI173" si="136">IF($D173*$C173&gt;=Q174,Q174,$D173*$C173)</f>
        <v>0</v>
      </c>
      <c r="S173" s="64">
        <f t="shared" si="136"/>
        <v>0</v>
      </c>
      <c r="T173" s="64">
        <f t="shared" si="136"/>
        <v>0</v>
      </c>
      <c r="U173" s="64">
        <f t="shared" si="136"/>
        <v>0</v>
      </c>
      <c r="V173" s="64">
        <f t="shared" si="136"/>
        <v>0</v>
      </c>
      <c r="W173" s="64">
        <f t="shared" si="136"/>
        <v>0</v>
      </c>
      <c r="X173" s="64">
        <f t="shared" si="136"/>
        <v>0</v>
      </c>
      <c r="Y173" s="64">
        <f t="shared" si="136"/>
        <v>0</v>
      </c>
      <c r="Z173" s="64">
        <f t="shared" si="136"/>
        <v>0</v>
      </c>
      <c r="AA173" s="64">
        <f t="shared" si="136"/>
        <v>0</v>
      </c>
      <c r="AB173" s="64">
        <f t="shared" si="136"/>
        <v>0</v>
      </c>
      <c r="AC173" s="64">
        <f t="shared" si="136"/>
        <v>0</v>
      </c>
      <c r="AD173" s="64">
        <f t="shared" si="136"/>
        <v>0</v>
      </c>
      <c r="AE173" s="64">
        <f t="shared" si="136"/>
        <v>0</v>
      </c>
      <c r="AF173" s="64">
        <f t="shared" si="136"/>
        <v>0</v>
      </c>
      <c r="AG173" s="64">
        <f t="shared" si="136"/>
        <v>0</v>
      </c>
      <c r="AH173" s="64">
        <f t="shared" si="136"/>
        <v>0</v>
      </c>
      <c r="AI173" s="86">
        <f t="shared" si="136"/>
        <v>0</v>
      </c>
    </row>
    <row r="174" spans="1:160">
      <c r="A174" s="60" t="str">
        <f>Q145</f>
        <v>Anno 13</v>
      </c>
      <c r="B174" s="59" t="s">
        <v>61</v>
      </c>
      <c r="C174" s="81"/>
      <c r="D174" s="52">
        <f>D173</f>
        <v>0</v>
      </c>
      <c r="E174" s="78"/>
      <c r="Q174" s="63">
        <f>$D174-Q173</f>
        <v>0</v>
      </c>
      <c r="R174" s="63">
        <f t="shared" ref="R174:AI174" si="137">IF(Q174-R173&gt;0,Q174-R173,0)</f>
        <v>0</v>
      </c>
      <c r="S174" s="63">
        <f t="shared" si="137"/>
        <v>0</v>
      </c>
      <c r="T174" s="63">
        <f t="shared" si="137"/>
        <v>0</v>
      </c>
      <c r="U174" s="63">
        <f t="shared" si="137"/>
        <v>0</v>
      </c>
      <c r="V174" s="63">
        <f t="shared" si="137"/>
        <v>0</v>
      </c>
      <c r="W174" s="63">
        <f t="shared" si="137"/>
        <v>0</v>
      </c>
      <c r="X174" s="63">
        <f t="shared" si="137"/>
        <v>0</v>
      </c>
      <c r="Y174" s="63">
        <f t="shared" si="137"/>
        <v>0</v>
      </c>
      <c r="Z174" s="63">
        <f t="shared" si="137"/>
        <v>0</v>
      </c>
      <c r="AA174" s="63">
        <f t="shared" si="137"/>
        <v>0</v>
      </c>
      <c r="AB174" s="63">
        <f t="shared" si="137"/>
        <v>0</v>
      </c>
      <c r="AC174" s="63">
        <f t="shared" si="137"/>
        <v>0</v>
      </c>
      <c r="AD174" s="63">
        <f t="shared" si="137"/>
        <v>0</v>
      </c>
      <c r="AE174" s="63">
        <f t="shared" si="137"/>
        <v>0</v>
      </c>
      <c r="AF174" s="63">
        <f t="shared" si="137"/>
        <v>0</v>
      </c>
      <c r="AG174" s="63">
        <f t="shared" si="137"/>
        <v>0</v>
      </c>
      <c r="AH174" s="63">
        <f t="shared" si="137"/>
        <v>0</v>
      </c>
      <c r="AI174" s="79">
        <f t="shared" si="137"/>
        <v>0</v>
      </c>
    </row>
    <row r="175" spans="1:160">
      <c r="A175" s="95" t="str">
        <f>R145</f>
        <v>Anno 14</v>
      </c>
      <c r="B175" s="80" t="str">
        <f>$B171</f>
        <v>Attrezzature</v>
      </c>
      <c r="C175" s="81">
        <f>$C$147</f>
        <v>0</v>
      </c>
      <c r="D175" s="52"/>
      <c r="E175" s="78"/>
      <c r="Q175" s="64"/>
      <c r="R175" s="64">
        <f>IF($D175*$C175&gt;=$D176,$D176,$D175*$C175)</f>
        <v>0</v>
      </c>
      <c r="S175" s="64">
        <f t="shared" ref="S175:AI175" si="138">IF($D175*$C175&gt;=R176,R176,$D175*$C175)</f>
        <v>0</v>
      </c>
      <c r="T175" s="64">
        <f t="shared" si="138"/>
        <v>0</v>
      </c>
      <c r="U175" s="64">
        <f t="shared" si="138"/>
        <v>0</v>
      </c>
      <c r="V175" s="64">
        <f t="shared" si="138"/>
        <v>0</v>
      </c>
      <c r="W175" s="64">
        <f t="shared" si="138"/>
        <v>0</v>
      </c>
      <c r="X175" s="64">
        <f t="shared" si="138"/>
        <v>0</v>
      </c>
      <c r="Y175" s="64">
        <f t="shared" si="138"/>
        <v>0</v>
      </c>
      <c r="Z175" s="64">
        <f t="shared" si="138"/>
        <v>0</v>
      </c>
      <c r="AA175" s="64">
        <f t="shared" si="138"/>
        <v>0</v>
      </c>
      <c r="AB175" s="64">
        <f t="shared" si="138"/>
        <v>0</v>
      </c>
      <c r="AC175" s="64">
        <f t="shared" si="138"/>
        <v>0</v>
      </c>
      <c r="AD175" s="64">
        <f t="shared" si="138"/>
        <v>0</v>
      </c>
      <c r="AE175" s="64">
        <f t="shared" si="138"/>
        <v>0</v>
      </c>
      <c r="AF175" s="64">
        <f t="shared" si="138"/>
        <v>0</v>
      </c>
      <c r="AG175" s="64">
        <f t="shared" si="138"/>
        <v>0</v>
      </c>
      <c r="AH175" s="64">
        <f t="shared" si="138"/>
        <v>0</v>
      </c>
      <c r="AI175" s="86">
        <f t="shared" si="138"/>
        <v>0</v>
      </c>
    </row>
    <row r="176" spans="1:160">
      <c r="A176" s="60" t="str">
        <f>R145</f>
        <v>Anno 14</v>
      </c>
      <c r="B176" s="59" t="s">
        <v>61</v>
      </c>
      <c r="C176" s="81"/>
      <c r="D176" s="52">
        <f>D175</f>
        <v>0</v>
      </c>
      <c r="E176" s="78"/>
      <c r="Q176" s="63"/>
      <c r="R176" s="63">
        <f>$D176-R175</f>
        <v>0</v>
      </c>
      <c r="S176" s="63">
        <f t="shared" ref="S176:AI176" si="139">IF(R176-S175&gt;0,R176-S175,0)</f>
        <v>0</v>
      </c>
      <c r="T176" s="63">
        <f t="shared" si="139"/>
        <v>0</v>
      </c>
      <c r="U176" s="63">
        <f t="shared" si="139"/>
        <v>0</v>
      </c>
      <c r="V176" s="63">
        <f t="shared" si="139"/>
        <v>0</v>
      </c>
      <c r="W176" s="63">
        <f t="shared" si="139"/>
        <v>0</v>
      </c>
      <c r="X176" s="63">
        <f t="shared" si="139"/>
        <v>0</v>
      </c>
      <c r="Y176" s="63">
        <f t="shared" si="139"/>
        <v>0</v>
      </c>
      <c r="Z176" s="63">
        <f t="shared" si="139"/>
        <v>0</v>
      </c>
      <c r="AA176" s="63">
        <f t="shared" si="139"/>
        <v>0</v>
      </c>
      <c r="AB176" s="63">
        <f t="shared" si="139"/>
        <v>0</v>
      </c>
      <c r="AC176" s="63">
        <f t="shared" si="139"/>
        <v>0</v>
      </c>
      <c r="AD176" s="63">
        <f t="shared" si="139"/>
        <v>0</v>
      </c>
      <c r="AE176" s="63">
        <f t="shared" si="139"/>
        <v>0</v>
      </c>
      <c r="AF176" s="63">
        <f t="shared" si="139"/>
        <v>0</v>
      </c>
      <c r="AG176" s="63">
        <f t="shared" si="139"/>
        <v>0</v>
      </c>
      <c r="AH176" s="63">
        <f t="shared" si="139"/>
        <v>0</v>
      </c>
      <c r="AI176" s="79">
        <f t="shared" si="139"/>
        <v>0</v>
      </c>
    </row>
    <row r="177" spans="1:35">
      <c r="A177" s="95" t="str">
        <f>S145</f>
        <v>Anno 15</v>
      </c>
      <c r="B177" s="80" t="str">
        <f>$B171</f>
        <v>Attrezzature</v>
      </c>
      <c r="C177" s="81">
        <f>$C$147</f>
        <v>0</v>
      </c>
      <c r="D177" s="52">
        <f>Ipotesi!Q32</f>
        <v>0</v>
      </c>
      <c r="E177" s="78"/>
      <c r="Q177" s="64"/>
      <c r="R177" s="64"/>
      <c r="S177" s="64">
        <f>IF($D177*$C177&gt;=$D178,$D178,$D177*$C177)</f>
        <v>0</v>
      </c>
      <c r="T177" s="64">
        <f t="shared" ref="T177:AI177" si="140">IF($D177*$C177&gt;=S178,S178,$D177*$C177)</f>
        <v>0</v>
      </c>
      <c r="U177" s="64">
        <f t="shared" si="140"/>
        <v>0</v>
      </c>
      <c r="V177" s="64">
        <f t="shared" si="140"/>
        <v>0</v>
      </c>
      <c r="W177" s="64">
        <f t="shared" si="140"/>
        <v>0</v>
      </c>
      <c r="X177" s="64">
        <f t="shared" si="140"/>
        <v>0</v>
      </c>
      <c r="Y177" s="64">
        <f t="shared" si="140"/>
        <v>0</v>
      </c>
      <c r="Z177" s="64">
        <f t="shared" si="140"/>
        <v>0</v>
      </c>
      <c r="AA177" s="64">
        <f t="shared" si="140"/>
        <v>0</v>
      </c>
      <c r="AB177" s="64">
        <f t="shared" si="140"/>
        <v>0</v>
      </c>
      <c r="AC177" s="64">
        <f t="shared" si="140"/>
        <v>0</v>
      </c>
      <c r="AD177" s="64">
        <f t="shared" si="140"/>
        <v>0</v>
      </c>
      <c r="AE177" s="64">
        <f t="shared" si="140"/>
        <v>0</v>
      </c>
      <c r="AF177" s="64">
        <f t="shared" si="140"/>
        <v>0</v>
      </c>
      <c r="AG177" s="64">
        <f t="shared" si="140"/>
        <v>0</v>
      </c>
      <c r="AH177" s="64">
        <f t="shared" si="140"/>
        <v>0</v>
      </c>
      <c r="AI177" s="86">
        <f t="shared" si="140"/>
        <v>0</v>
      </c>
    </row>
    <row r="178" spans="1:35">
      <c r="A178" s="60" t="str">
        <f>S145</f>
        <v>Anno 15</v>
      </c>
      <c r="B178" s="59" t="s">
        <v>61</v>
      </c>
      <c r="C178" s="81"/>
      <c r="D178" s="52">
        <f>D177</f>
        <v>0</v>
      </c>
      <c r="E178" s="78"/>
      <c r="Q178" s="63"/>
      <c r="R178" s="63"/>
      <c r="S178" s="63">
        <f>$D178-S177</f>
        <v>0</v>
      </c>
      <c r="T178" s="63">
        <f t="shared" ref="T178:AI178" si="141">IF(S178-T177&gt;0,S178-T177,0)</f>
        <v>0</v>
      </c>
      <c r="U178" s="63">
        <f t="shared" si="141"/>
        <v>0</v>
      </c>
      <c r="V178" s="63">
        <f t="shared" si="141"/>
        <v>0</v>
      </c>
      <c r="W178" s="63">
        <f t="shared" si="141"/>
        <v>0</v>
      </c>
      <c r="X178" s="63">
        <f t="shared" si="141"/>
        <v>0</v>
      </c>
      <c r="Y178" s="63">
        <f t="shared" si="141"/>
        <v>0</v>
      </c>
      <c r="Z178" s="63">
        <f t="shared" si="141"/>
        <v>0</v>
      </c>
      <c r="AA178" s="63">
        <f t="shared" si="141"/>
        <v>0</v>
      </c>
      <c r="AB178" s="63">
        <f t="shared" si="141"/>
        <v>0</v>
      </c>
      <c r="AC178" s="63">
        <f t="shared" si="141"/>
        <v>0</v>
      </c>
      <c r="AD178" s="63">
        <f t="shared" si="141"/>
        <v>0</v>
      </c>
      <c r="AE178" s="63">
        <f t="shared" si="141"/>
        <v>0</v>
      </c>
      <c r="AF178" s="63">
        <f t="shared" si="141"/>
        <v>0</v>
      </c>
      <c r="AG178" s="63">
        <f t="shared" si="141"/>
        <v>0</v>
      </c>
      <c r="AH178" s="63">
        <f t="shared" si="141"/>
        <v>0</v>
      </c>
      <c r="AI178" s="79">
        <f t="shared" si="141"/>
        <v>0</v>
      </c>
    </row>
    <row r="179" spans="1:35">
      <c r="A179" s="95" t="str">
        <f>T145</f>
        <v>Anno 16</v>
      </c>
      <c r="B179" s="80" t="str">
        <f>$B171</f>
        <v>Attrezzature</v>
      </c>
      <c r="C179" s="81">
        <f>$C$147</f>
        <v>0</v>
      </c>
      <c r="D179" s="52"/>
      <c r="E179" s="78"/>
      <c r="Q179" s="64"/>
      <c r="R179" s="64"/>
      <c r="S179" s="64"/>
      <c r="T179" s="64">
        <f>IF($D179*$C179&gt;=$D180,$D180,$D179*$C179)</f>
        <v>0</v>
      </c>
      <c r="U179" s="64">
        <f t="shared" ref="U179:AI179" si="142">IF($D179*$C179&gt;=T180,T180,$D179*$C179)</f>
        <v>0</v>
      </c>
      <c r="V179" s="64">
        <f t="shared" si="142"/>
        <v>0</v>
      </c>
      <c r="W179" s="64">
        <f t="shared" si="142"/>
        <v>0</v>
      </c>
      <c r="X179" s="64">
        <f t="shared" si="142"/>
        <v>0</v>
      </c>
      <c r="Y179" s="64">
        <f t="shared" si="142"/>
        <v>0</v>
      </c>
      <c r="Z179" s="64">
        <f t="shared" si="142"/>
        <v>0</v>
      </c>
      <c r="AA179" s="64">
        <f t="shared" si="142"/>
        <v>0</v>
      </c>
      <c r="AB179" s="64">
        <f t="shared" si="142"/>
        <v>0</v>
      </c>
      <c r="AC179" s="64">
        <f t="shared" si="142"/>
        <v>0</v>
      </c>
      <c r="AD179" s="64">
        <f t="shared" si="142"/>
        <v>0</v>
      </c>
      <c r="AE179" s="64">
        <f t="shared" si="142"/>
        <v>0</v>
      </c>
      <c r="AF179" s="64">
        <f t="shared" si="142"/>
        <v>0</v>
      </c>
      <c r="AG179" s="64">
        <f t="shared" si="142"/>
        <v>0</v>
      </c>
      <c r="AH179" s="64">
        <f t="shared" si="142"/>
        <v>0</v>
      </c>
      <c r="AI179" s="86">
        <f t="shared" si="142"/>
        <v>0</v>
      </c>
    </row>
    <row r="180" spans="1:35">
      <c r="A180" s="60" t="str">
        <f>T145</f>
        <v>Anno 16</v>
      </c>
      <c r="B180" s="59" t="s">
        <v>61</v>
      </c>
      <c r="C180" s="81"/>
      <c r="D180" s="52">
        <f>D179</f>
        <v>0</v>
      </c>
      <c r="E180" s="78"/>
      <c r="Q180" s="63"/>
      <c r="R180" s="63"/>
      <c r="S180" s="63"/>
      <c r="T180" s="63">
        <f>$D180-T179</f>
        <v>0</v>
      </c>
      <c r="U180" s="63">
        <f t="shared" ref="U180:AI180" si="143">IF(T180-U179&gt;0,T180-U179,0)</f>
        <v>0</v>
      </c>
      <c r="V180" s="63">
        <f t="shared" si="143"/>
        <v>0</v>
      </c>
      <c r="W180" s="63">
        <f t="shared" si="143"/>
        <v>0</v>
      </c>
      <c r="X180" s="63">
        <f t="shared" si="143"/>
        <v>0</v>
      </c>
      <c r="Y180" s="63">
        <f t="shared" si="143"/>
        <v>0</v>
      </c>
      <c r="Z180" s="63">
        <f t="shared" si="143"/>
        <v>0</v>
      </c>
      <c r="AA180" s="63">
        <f t="shared" si="143"/>
        <v>0</v>
      </c>
      <c r="AB180" s="63">
        <f t="shared" si="143"/>
        <v>0</v>
      </c>
      <c r="AC180" s="63">
        <f t="shared" si="143"/>
        <v>0</v>
      </c>
      <c r="AD180" s="63">
        <f t="shared" si="143"/>
        <v>0</v>
      </c>
      <c r="AE180" s="63">
        <f t="shared" si="143"/>
        <v>0</v>
      </c>
      <c r="AF180" s="63">
        <f t="shared" si="143"/>
        <v>0</v>
      </c>
      <c r="AG180" s="63">
        <f t="shared" si="143"/>
        <v>0</v>
      </c>
      <c r="AH180" s="63">
        <f t="shared" si="143"/>
        <v>0</v>
      </c>
      <c r="AI180" s="79">
        <f t="shared" si="143"/>
        <v>0</v>
      </c>
    </row>
    <row r="181" spans="1:35">
      <c r="A181" s="95" t="str">
        <f>U145</f>
        <v>Anno 17</v>
      </c>
      <c r="B181" s="80" t="str">
        <f>$B171</f>
        <v>Attrezzature</v>
      </c>
      <c r="C181" s="81">
        <f>$C$147</f>
        <v>0</v>
      </c>
      <c r="D181" s="52"/>
      <c r="E181" s="78"/>
      <c r="Q181" s="64"/>
      <c r="R181" s="64"/>
      <c r="S181" s="64"/>
      <c r="T181" s="64"/>
      <c r="U181" s="64">
        <f>IF($D181*$C181&gt;=$D182,$D182,$D181*$C181)</f>
        <v>0</v>
      </c>
      <c r="V181" s="64">
        <f t="shared" ref="V181:AI181" si="144">IF($D181*$C181&gt;=U182,U182,$D181*$C181)</f>
        <v>0</v>
      </c>
      <c r="W181" s="64">
        <f t="shared" si="144"/>
        <v>0</v>
      </c>
      <c r="X181" s="64">
        <f t="shared" si="144"/>
        <v>0</v>
      </c>
      <c r="Y181" s="64">
        <f t="shared" si="144"/>
        <v>0</v>
      </c>
      <c r="Z181" s="64">
        <f t="shared" si="144"/>
        <v>0</v>
      </c>
      <c r="AA181" s="64">
        <f t="shared" si="144"/>
        <v>0</v>
      </c>
      <c r="AB181" s="64">
        <f t="shared" si="144"/>
        <v>0</v>
      </c>
      <c r="AC181" s="64">
        <f t="shared" si="144"/>
        <v>0</v>
      </c>
      <c r="AD181" s="64">
        <f t="shared" si="144"/>
        <v>0</v>
      </c>
      <c r="AE181" s="64">
        <f t="shared" si="144"/>
        <v>0</v>
      </c>
      <c r="AF181" s="64">
        <f t="shared" si="144"/>
        <v>0</v>
      </c>
      <c r="AG181" s="64">
        <f t="shared" si="144"/>
        <v>0</v>
      </c>
      <c r="AH181" s="64">
        <f t="shared" si="144"/>
        <v>0</v>
      </c>
      <c r="AI181" s="86">
        <f t="shared" si="144"/>
        <v>0</v>
      </c>
    </row>
    <row r="182" spans="1:35">
      <c r="A182" s="60" t="str">
        <f>U145</f>
        <v>Anno 17</v>
      </c>
      <c r="B182" s="59" t="s">
        <v>61</v>
      </c>
      <c r="C182" s="81"/>
      <c r="D182" s="52">
        <f>D181</f>
        <v>0</v>
      </c>
      <c r="E182" s="78"/>
      <c r="Q182" s="63"/>
      <c r="R182" s="63"/>
      <c r="S182" s="63"/>
      <c r="T182" s="63"/>
      <c r="U182" s="63">
        <f>$D182-U181</f>
        <v>0</v>
      </c>
      <c r="V182" s="63">
        <f t="shared" ref="V182:AI182" si="145">IF(U182-V181&gt;0,U182-V181,0)</f>
        <v>0</v>
      </c>
      <c r="W182" s="63">
        <f t="shared" si="145"/>
        <v>0</v>
      </c>
      <c r="X182" s="63">
        <f t="shared" si="145"/>
        <v>0</v>
      </c>
      <c r="Y182" s="63">
        <f t="shared" si="145"/>
        <v>0</v>
      </c>
      <c r="Z182" s="63">
        <f t="shared" si="145"/>
        <v>0</v>
      </c>
      <c r="AA182" s="63">
        <f t="shared" si="145"/>
        <v>0</v>
      </c>
      <c r="AB182" s="63">
        <f t="shared" si="145"/>
        <v>0</v>
      </c>
      <c r="AC182" s="63">
        <f t="shared" si="145"/>
        <v>0</v>
      </c>
      <c r="AD182" s="63">
        <f t="shared" si="145"/>
        <v>0</v>
      </c>
      <c r="AE182" s="63">
        <f t="shared" si="145"/>
        <v>0</v>
      </c>
      <c r="AF182" s="63">
        <f t="shared" si="145"/>
        <v>0</v>
      </c>
      <c r="AG182" s="63">
        <f t="shared" si="145"/>
        <v>0</v>
      </c>
      <c r="AH182" s="63">
        <f t="shared" si="145"/>
        <v>0</v>
      </c>
      <c r="AI182" s="79">
        <f t="shared" si="145"/>
        <v>0</v>
      </c>
    </row>
    <row r="183" spans="1:35">
      <c r="A183" s="95" t="str">
        <f>V145</f>
        <v>Anno 18</v>
      </c>
      <c r="B183" s="80" t="str">
        <f>$B171</f>
        <v>Attrezzature</v>
      </c>
      <c r="C183" s="81">
        <f>$C$147</f>
        <v>0</v>
      </c>
      <c r="D183" s="52"/>
      <c r="E183" s="78"/>
      <c r="Q183" s="64"/>
      <c r="R183" s="64"/>
      <c r="S183" s="64"/>
      <c r="T183" s="64"/>
      <c r="U183" s="64"/>
      <c r="V183" s="64">
        <f>IF($D183*$C183&gt;=$D184,$D184,$D183*$C183)</f>
        <v>0</v>
      </c>
      <c r="W183" s="64">
        <f t="shared" ref="W183:AI183" si="146">IF($D183*$C183&gt;=V184,V184,$D183*$C183)</f>
        <v>0</v>
      </c>
      <c r="X183" s="64">
        <f t="shared" si="146"/>
        <v>0</v>
      </c>
      <c r="Y183" s="64">
        <f t="shared" si="146"/>
        <v>0</v>
      </c>
      <c r="Z183" s="64">
        <f t="shared" si="146"/>
        <v>0</v>
      </c>
      <c r="AA183" s="64">
        <f t="shared" si="146"/>
        <v>0</v>
      </c>
      <c r="AB183" s="64">
        <f t="shared" si="146"/>
        <v>0</v>
      </c>
      <c r="AC183" s="64">
        <f t="shared" si="146"/>
        <v>0</v>
      </c>
      <c r="AD183" s="64">
        <f t="shared" si="146"/>
        <v>0</v>
      </c>
      <c r="AE183" s="64">
        <f t="shared" si="146"/>
        <v>0</v>
      </c>
      <c r="AF183" s="64">
        <f t="shared" si="146"/>
        <v>0</v>
      </c>
      <c r="AG183" s="64">
        <f t="shared" si="146"/>
        <v>0</v>
      </c>
      <c r="AH183" s="64">
        <f t="shared" si="146"/>
        <v>0</v>
      </c>
      <c r="AI183" s="86">
        <f t="shared" si="146"/>
        <v>0</v>
      </c>
    </row>
    <row r="184" spans="1:35">
      <c r="A184" s="60" t="str">
        <f>V145</f>
        <v>Anno 18</v>
      </c>
      <c r="B184" s="59" t="s">
        <v>61</v>
      </c>
      <c r="C184" s="81"/>
      <c r="D184" s="52">
        <f>D183</f>
        <v>0</v>
      </c>
      <c r="E184" s="78"/>
      <c r="Q184" s="63"/>
      <c r="R184" s="63"/>
      <c r="S184" s="63"/>
      <c r="T184" s="63"/>
      <c r="U184" s="63"/>
      <c r="V184" s="63">
        <f>$D184-V183</f>
        <v>0</v>
      </c>
      <c r="W184" s="63">
        <f t="shared" ref="W184:AI184" si="147">IF(V184-W183&gt;0,V184-W183,0)</f>
        <v>0</v>
      </c>
      <c r="X184" s="63">
        <f t="shared" si="147"/>
        <v>0</v>
      </c>
      <c r="Y184" s="63">
        <f t="shared" si="147"/>
        <v>0</v>
      </c>
      <c r="Z184" s="63">
        <f t="shared" si="147"/>
        <v>0</v>
      </c>
      <c r="AA184" s="63">
        <f t="shared" si="147"/>
        <v>0</v>
      </c>
      <c r="AB184" s="63">
        <f t="shared" si="147"/>
        <v>0</v>
      </c>
      <c r="AC184" s="63">
        <f t="shared" si="147"/>
        <v>0</v>
      </c>
      <c r="AD184" s="63">
        <f t="shared" si="147"/>
        <v>0</v>
      </c>
      <c r="AE184" s="63">
        <f t="shared" si="147"/>
        <v>0</v>
      </c>
      <c r="AF184" s="63">
        <f t="shared" si="147"/>
        <v>0</v>
      </c>
      <c r="AG184" s="63">
        <f t="shared" si="147"/>
        <v>0</v>
      </c>
      <c r="AH184" s="63">
        <f t="shared" si="147"/>
        <v>0</v>
      </c>
      <c r="AI184" s="79">
        <f t="shared" si="147"/>
        <v>0</v>
      </c>
    </row>
    <row r="185" spans="1:35">
      <c r="A185" s="95" t="str">
        <f>W145</f>
        <v>Anno 19</v>
      </c>
      <c r="B185" s="80" t="str">
        <f>$B171</f>
        <v>Attrezzature</v>
      </c>
      <c r="C185" s="81">
        <f>$C$147</f>
        <v>0</v>
      </c>
      <c r="D185" s="52"/>
      <c r="E185" s="78"/>
      <c r="Q185" s="64"/>
      <c r="R185" s="64"/>
      <c r="S185" s="64"/>
      <c r="T185" s="64"/>
      <c r="U185" s="64"/>
      <c r="V185" s="87"/>
      <c r="W185" s="64">
        <f>IF($D185*$C185&gt;=$D186,$D186,$D185*$C185)</f>
        <v>0</v>
      </c>
      <c r="X185" s="64">
        <f t="shared" ref="X185:AI185" si="148">IF($D185*$C185&gt;=W186,W186,$D185*$C185)</f>
        <v>0</v>
      </c>
      <c r="Y185" s="64">
        <f t="shared" si="148"/>
        <v>0</v>
      </c>
      <c r="Z185" s="64">
        <f t="shared" si="148"/>
        <v>0</v>
      </c>
      <c r="AA185" s="64">
        <f t="shared" si="148"/>
        <v>0</v>
      </c>
      <c r="AB185" s="64">
        <f t="shared" si="148"/>
        <v>0</v>
      </c>
      <c r="AC185" s="64">
        <f t="shared" si="148"/>
        <v>0</v>
      </c>
      <c r="AD185" s="64">
        <f t="shared" si="148"/>
        <v>0</v>
      </c>
      <c r="AE185" s="64">
        <f t="shared" si="148"/>
        <v>0</v>
      </c>
      <c r="AF185" s="64">
        <f t="shared" si="148"/>
        <v>0</v>
      </c>
      <c r="AG185" s="64">
        <f t="shared" si="148"/>
        <v>0</v>
      </c>
      <c r="AH185" s="64">
        <f t="shared" si="148"/>
        <v>0</v>
      </c>
      <c r="AI185" s="86">
        <f t="shared" si="148"/>
        <v>0</v>
      </c>
    </row>
    <row r="186" spans="1:35">
      <c r="A186" s="60" t="str">
        <f>W145</f>
        <v>Anno 19</v>
      </c>
      <c r="B186" s="59" t="s">
        <v>61</v>
      </c>
      <c r="C186" s="81"/>
      <c r="D186" s="52">
        <f>D185</f>
        <v>0</v>
      </c>
      <c r="E186" s="78"/>
      <c r="Q186" s="63"/>
      <c r="R186" s="63"/>
      <c r="S186" s="63"/>
      <c r="T186" s="63"/>
      <c r="U186" s="63"/>
      <c r="V186" s="66"/>
      <c r="W186" s="63">
        <f>$D186-W185</f>
        <v>0</v>
      </c>
      <c r="X186" s="63">
        <f t="shared" ref="X186:AI186" si="149">IF(W186-X185&gt;0,W186-X185,0)</f>
        <v>0</v>
      </c>
      <c r="Y186" s="63">
        <f t="shared" si="149"/>
        <v>0</v>
      </c>
      <c r="Z186" s="63">
        <f t="shared" si="149"/>
        <v>0</v>
      </c>
      <c r="AA186" s="63">
        <f t="shared" si="149"/>
        <v>0</v>
      </c>
      <c r="AB186" s="63">
        <f t="shared" si="149"/>
        <v>0</v>
      </c>
      <c r="AC186" s="63">
        <f t="shared" si="149"/>
        <v>0</v>
      </c>
      <c r="AD186" s="63">
        <f t="shared" si="149"/>
        <v>0</v>
      </c>
      <c r="AE186" s="63">
        <f t="shared" si="149"/>
        <v>0</v>
      </c>
      <c r="AF186" s="63">
        <f t="shared" si="149"/>
        <v>0</v>
      </c>
      <c r="AG186" s="63">
        <f t="shared" si="149"/>
        <v>0</v>
      </c>
      <c r="AH186" s="63">
        <f t="shared" si="149"/>
        <v>0</v>
      </c>
      <c r="AI186" s="79">
        <f t="shared" si="149"/>
        <v>0</v>
      </c>
    </row>
    <row r="187" spans="1:35">
      <c r="A187" s="95" t="str">
        <f>X145</f>
        <v>Anno 20</v>
      </c>
      <c r="B187" s="80" t="str">
        <f>$B171</f>
        <v>Attrezzature</v>
      </c>
      <c r="C187" s="81">
        <f>$C$147</f>
        <v>0</v>
      </c>
      <c r="D187" s="52"/>
      <c r="E187" s="78"/>
      <c r="Q187" s="64"/>
      <c r="R187" s="64"/>
      <c r="S187" s="64"/>
      <c r="T187" s="64"/>
      <c r="U187" s="64"/>
      <c r="V187" s="87"/>
      <c r="W187" s="87"/>
      <c r="X187" s="64">
        <f>IF($D187*$C187&gt;=$D188,$D188,$D187*$C187)</f>
        <v>0</v>
      </c>
      <c r="Y187" s="64">
        <f t="shared" ref="Y187:AI187" si="150">IF($D187*$C187&gt;=X188,X188,$D187*$C187)</f>
        <v>0</v>
      </c>
      <c r="Z187" s="64">
        <f t="shared" si="150"/>
        <v>0</v>
      </c>
      <c r="AA187" s="64">
        <f t="shared" si="150"/>
        <v>0</v>
      </c>
      <c r="AB187" s="64">
        <f t="shared" si="150"/>
        <v>0</v>
      </c>
      <c r="AC187" s="64">
        <f t="shared" si="150"/>
        <v>0</v>
      </c>
      <c r="AD187" s="64">
        <f t="shared" si="150"/>
        <v>0</v>
      </c>
      <c r="AE187" s="64">
        <f t="shared" si="150"/>
        <v>0</v>
      </c>
      <c r="AF187" s="64">
        <f t="shared" si="150"/>
        <v>0</v>
      </c>
      <c r="AG187" s="64">
        <f t="shared" si="150"/>
        <v>0</v>
      </c>
      <c r="AH187" s="64">
        <f t="shared" si="150"/>
        <v>0</v>
      </c>
      <c r="AI187" s="86">
        <f t="shared" si="150"/>
        <v>0</v>
      </c>
    </row>
    <row r="188" spans="1:35">
      <c r="A188" s="60" t="str">
        <f>X145</f>
        <v>Anno 20</v>
      </c>
      <c r="B188" s="59" t="s">
        <v>61</v>
      </c>
      <c r="C188" s="81"/>
      <c r="D188" s="52">
        <f>D187</f>
        <v>0</v>
      </c>
      <c r="E188" s="78"/>
      <c r="Q188" s="63"/>
      <c r="R188" s="63"/>
      <c r="S188" s="63"/>
      <c r="T188" s="63"/>
      <c r="U188" s="63"/>
      <c r="V188" s="66"/>
      <c r="W188" s="66"/>
      <c r="X188" s="63">
        <f>$D188-X187</f>
        <v>0</v>
      </c>
      <c r="Y188" s="63">
        <f t="shared" ref="Y188:AI188" si="151">IF(X188-Y187&gt;0,X188-Y187,0)</f>
        <v>0</v>
      </c>
      <c r="Z188" s="63">
        <f t="shared" si="151"/>
        <v>0</v>
      </c>
      <c r="AA188" s="63">
        <f t="shared" si="151"/>
        <v>0</v>
      </c>
      <c r="AB188" s="63">
        <f t="shared" si="151"/>
        <v>0</v>
      </c>
      <c r="AC188" s="63">
        <f t="shared" si="151"/>
        <v>0</v>
      </c>
      <c r="AD188" s="63">
        <f t="shared" si="151"/>
        <v>0</v>
      </c>
      <c r="AE188" s="63">
        <f t="shared" si="151"/>
        <v>0</v>
      </c>
      <c r="AF188" s="63">
        <f t="shared" si="151"/>
        <v>0</v>
      </c>
      <c r="AG188" s="63">
        <f t="shared" si="151"/>
        <v>0</v>
      </c>
      <c r="AH188" s="63">
        <f t="shared" si="151"/>
        <v>0</v>
      </c>
      <c r="AI188" s="79">
        <f t="shared" si="151"/>
        <v>0</v>
      </c>
    </row>
    <row r="189" spans="1:35">
      <c r="A189" s="95" t="str">
        <f>Y145</f>
        <v>Anno 21</v>
      </c>
      <c r="B189" s="80" t="str">
        <f>$B171</f>
        <v>Attrezzature</v>
      </c>
      <c r="C189" s="81">
        <f>$C$147</f>
        <v>0</v>
      </c>
      <c r="D189" s="52"/>
      <c r="E189" s="78"/>
      <c r="Q189" s="64"/>
      <c r="R189" s="64"/>
      <c r="S189" s="64"/>
      <c r="T189" s="64"/>
      <c r="U189" s="64"/>
      <c r="V189" s="87"/>
      <c r="W189" s="87"/>
      <c r="X189" s="87"/>
      <c r="Y189" s="64">
        <f>IF($D189*$C189&gt;=$D190,$D190,$D189*$C189)</f>
        <v>0</v>
      </c>
      <c r="Z189" s="64">
        <f t="shared" ref="Z189:AI189" si="152">IF($D189*$C189&gt;=Y190,Y190,$D189*$C189)</f>
        <v>0</v>
      </c>
      <c r="AA189" s="64">
        <f t="shared" si="152"/>
        <v>0</v>
      </c>
      <c r="AB189" s="64">
        <f t="shared" si="152"/>
        <v>0</v>
      </c>
      <c r="AC189" s="64">
        <f t="shared" si="152"/>
        <v>0</v>
      </c>
      <c r="AD189" s="64">
        <f t="shared" si="152"/>
        <v>0</v>
      </c>
      <c r="AE189" s="64">
        <f t="shared" si="152"/>
        <v>0</v>
      </c>
      <c r="AF189" s="64">
        <f t="shared" si="152"/>
        <v>0</v>
      </c>
      <c r="AG189" s="64">
        <f t="shared" si="152"/>
        <v>0</v>
      </c>
      <c r="AH189" s="64">
        <f t="shared" si="152"/>
        <v>0</v>
      </c>
      <c r="AI189" s="86">
        <f t="shared" si="152"/>
        <v>0</v>
      </c>
    </row>
    <row r="190" spans="1:35">
      <c r="A190" s="60" t="str">
        <f>Y145</f>
        <v>Anno 21</v>
      </c>
      <c r="B190" s="59" t="s">
        <v>61</v>
      </c>
      <c r="C190" s="81"/>
      <c r="D190" s="52">
        <f>D189</f>
        <v>0</v>
      </c>
      <c r="E190" s="78"/>
      <c r="Q190" s="63"/>
      <c r="R190" s="63"/>
      <c r="S190" s="63"/>
      <c r="T190" s="63"/>
      <c r="U190" s="63"/>
      <c r="V190" s="66"/>
      <c r="W190" s="66"/>
      <c r="X190" s="66"/>
      <c r="Y190" s="63">
        <f>$D190-Y189</f>
        <v>0</v>
      </c>
      <c r="Z190" s="63">
        <f t="shared" ref="Z190:AI190" si="153">IF(Y190-Z189&gt;0,Y190-Z189,0)</f>
        <v>0</v>
      </c>
      <c r="AA190" s="63">
        <f t="shared" si="153"/>
        <v>0</v>
      </c>
      <c r="AB190" s="63">
        <f t="shared" si="153"/>
        <v>0</v>
      </c>
      <c r="AC190" s="63">
        <f t="shared" si="153"/>
        <v>0</v>
      </c>
      <c r="AD190" s="63">
        <f t="shared" si="153"/>
        <v>0</v>
      </c>
      <c r="AE190" s="63">
        <f t="shared" si="153"/>
        <v>0</v>
      </c>
      <c r="AF190" s="63">
        <f t="shared" si="153"/>
        <v>0</v>
      </c>
      <c r="AG190" s="63">
        <f t="shared" si="153"/>
        <v>0</v>
      </c>
      <c r="AH190" s="63">
        <f t="shared" si="153"/>
        <v>0</v>
      </c>
      <c r="AI190" s="79">
        <f t="shared" si="153"/>
        <v>0</v>
      </c>
    </row>
    <row r="191" spans="1:35">
      <c r="A191" s="95" t="str">
        <f>Z145</f>
        <v>Anno 22</v>
      </c>
      <c r="B191" s="80" t="str">
        <f>$B171</f>
        <v>Attrezzature</v>
      </c>
      <c r="C191" s="81">
        <f>$C$147</f>
        <v>0</v>
      </c>
      <c r="D191" s="52">
        <f>Ipotesi!X32</f>
        <v>0</v>
      </c>
      <c r="E191" s="78"/>
      <c r="Q191" s="64"/>
      <c r="R191" s="64"/>
      <c r="S191" s="64"/>
      <c r="T191" s="64"/>
      <c r="U191" s="64"/>
      <c r="V191" s="87"/>
      <c r="W191" s="87"/>
      <c r="X191" s="87"/>
      <c r="Y191" s="87"/>
      <c r="Z191" s="64">
        <f>IF($D191*$C191&gt;=$D192,$D192,$D191*$C191)</f>
        <v>0</v>
      </c>
      <c r="AA191" s="64">
        <f t="shared" ref="AA191:AI191" si="154">IF($D191*$C191&gt;=Z192,Z192,$D191*$C191)</f>
        <v>0</v>
      </c>
      <c r="AB191" s="64">
        <f t="shared" si="154"/>
        <v>0</v>
      </c>
      <c r="AC191" s="64">
        <f t="shared" si="154"/>
        <v>0</v>
      </c>
      <c r="AD191" s="64">
        <f t="shared" si="154"/>
        <v>0</v>
      </c>
      <c r="AE191" s="64">
        <f t="shared" si="154"/>
        <v>0</v>
      </c>
      <c r="AF191" s="64">
        <f t="shared" si="154"/>
        <v>0</v>
      </c>
      <c r="AG191" s="64">
        <f t="shared" si="154"/>
        <v>0</v>
      </c>
      <c r="AH191" s="64">
        <f t="shared" si="154"/>
        <v>0</v>
      </c>
      <c r="AI191" s="86">
        <f t="shared" si="154"/>
        <v>0</v>
      </c>
    </row>
    <row r="192" spans="1:35">
      <c r="A192" s="60" t="str">
        <f>Z145</f>
        <v>Anno 22</v>
      </c>
      <c r="B192" s="59" t="s">
        <v>61</v>
      </c>
      <c r="C192" s="81"/>
      <c r="D192" s="52">
        <f>D191</f>
        <v>0</v>
      </c>
      <c r="E192" s="78"/>
      <c r="Q192" s="63"/>
      <c r="R192" s="63"/>
      <c r="S192" s="63"/>
      <c r="T192" s="63"/>
      <c r="U192" s="63"/>
      <c r="V192" s="66"/>
      <c r="W192" s="66"/>
      <c r="X192" s="66"/>
      <c r="Y192" s="66"/>
      <c r="Z192" s="63">
        <f>$D192-Z191</f>
        <v>0</v>
      </c>
      <c r="AA192" s="63">
        <f t="shared" ref="AA192:AI192" si="155">IF(Z192-AA191&gt;0,Z192-AA191,0)</f>
        <v>0</v>
      </c>
      <c r="AB192" s="63">
        <f t="shared" si="155"/>
        <v>0</v>
      </c>
      <c r="AC192" s="63">
        <f t="shared" si="155"/>
        <v>0</v>
      </c>
      <c r="AD192" s="63">
        <f t="shared" si="155"/>
        <v>0</v>
      </c>
      <c r="AE192" s="63">
        <f t="shared" si="155"/>
        <v>0</v>
      </c>
      <c r="AF192" s="63">
        <f t="shared" si="155"/>
        <v>0</v>
      </c>
      <c r="AG192" s="63">
        <f t="shared" si="155"/>
        <v>0</v>
      </c>
      <c r="AH192" s="63">
        <f t="shared" si="155"/>
        <v>0</v>
      </c>
      <c r="AI192" s="79">
        <f t="shared" si="155"/>
        <v>0</v>
      </c>
    </row>
    <row r="193" spans="1:35">
      <c r="A193" s="95" t="str">
        <f>AA145</f>
        <v>Anno 23</v>
      </c>
      <c r="B193" s="80" t="str">
        <f>$B171</f>
        <v>Attrezzature</v>
      </c>
      <c r="C193" s="81">
        <f>$C$147</f>
        <v>0</v>
      </c>
      <c r="D193" s="52"/>
      <c r="E193" s="78"/>
      <c r="Q193" s="64"/>
      <c r="R193" s="64"/>
      <c r="S193" s="64"/>
      <c r="T193" s="64"/>
      <c r="U193" s="64"/>
      <c r="V193" s="87"/>
      <c r="W193" s="87"/>
      <c r="X193" s="87"/>
      <c r="Y193" s="87"/>
      <c r="Z193" s="87"/>
      <c r="AA193" s="64">
        <f>IF($D193*$C193&gt;=$D194,$D194,$D193*$C193)</f>
        <v>0</v>
      </c>
      <c r="AB193" s="64">
        <f t="shared" ref="AB193:AI193" si="156">IF($D193*$C193&gt;=AA194,AA194,$D193*$C193)</f>
        <v>0</v>
      </c>
      <c r="AC193" s="64">
        <f t="shared" si="156"/>
        <v>0</v>
      </c>
      <c r="AD193" s="64">
        <f t="shared" si="156"/>
        <v>0</v>
      </c>
      <c r="AE193" s="64">
        <f t="shared" si="156"/>
        <v>0</v>
      </c>
      <c r="AF193" s="64">
        <f t="shared" si="156"/>
        <v>0</v>
      </c>
      <c r="AG193" s="64">
        <f t="shared" si="156"/>
        <v>0</v>
      </c>
      <c r="AH193" s="64">
        <f t="shared" si="156"/>
        <v>0</v>
      </c>
      <c r="AI193" s="86">
        <f t="shared" si="156"/>
        <v>0</v>
      </c>
    </row>
    <row r="194" spans="1:35">
      <c r="A194" s="60" t="str">
        <f>AA145</f>
        <v>Anno 23</v>
      </c>
      <c r="B194" s="59" t="s">
        <v>61</v>
      </c>
      <c r="C194" s="81"/>
      <c r="D194" s="52">
        <f>D193</f>
        <v>0</v>
      </c>
      <c r="E194" s="78"/>
      <c r="Q194" s="63"/>
      <c r="R194" s="63"/>
      <c r="S194" s="63"/>
      <c r="T194" s="63"/>
      <c r="U194" s="63"/>
      <c r="V194" s="66"/>
      <c r="W194" s="66"/>
      <c r="X194" s="66"/>
      <c r="Y194" s="66"/>
      <c r="Z194" s="66"/>
      <c r="AA194" s="63">
        <f>$D194-AA193</f>
        <v>0</v>
      </c>
      <c r="AB194" s="63">
        <f t="shared" ref="AB194:AI194" si="157">IF(AA194-AB193&gt;0,AA194-AB193,0)</f>
        <v>0</v>
      </c>
      <c r="AC194" s="63">
        <f t="shared" si="157"/>
        <v>0</v>
      </c>
      <c r="AD194" s="63">
        <f t="shared" si="157"/>
        <v>0</v>
      </c>
      <c r="AE194" s="63">
        <f t="shared" si="157"/>
        <v>0</v>
      </c>
      <c r="AF194" s="63">
        <f t="shared" si="157"/>
        <v>0</v>
      </c>
      <c r="AG194" s="63">
        <f t="shared" si="157"/>
        <v>0</v>
      </c>
      <c r="AH194" s="63">
        <f t="shared" si="157"/>
        <v>0</v>
      </c>
      <c r="AI194" s="79">
        <f t="shared" si="157"/>
        <v>0</v>
      </c>
    </row>
    <row r="195" spans="1:35">
      <c r="A195" s="95" t="str">
        <f>AB145</f>
        <v>Anno 24</v>
      </c>
      <c r="B195" s="80" t="str">
        <f>$B171</f>
        <v>Attrezzature</v>
      </c>
      <c r="C195" s="81">
        <f>$C$147</f>
        <v>0</v>
      </c>
      <c r="D195" s="52"/>
      <c r="E195" s="78"/>
      <c r="Q195" s="64"/>
      <c r="R195" s="64"/>
      <c r="S195" s="64"/>
      <c r="T195" s="64"/>
      <c r="U195" s="64"/>
      <c r="V195" s="87"/>
      <c r="W195" s="87"/>
      <c r="X195" s="87"/>
      <c r="Y195" s="87"/>
      <c r="Z195" s="87"/>
      <c r="AA195" s="87"/>
      <c r="AB195" s="64">
        <f>IF($D195*$C195&gt;=$D196,$D196,$D195*$C195)</f>
        <v>0</v>
      </c>
      <c r="AC195" s="64">
        <f t="shared" ref="AC195:AI195" si="158">IF($D195*$C195&gt;=AB196,AB196,$D195*$C195)</f>
        <v>0</v>
      </c>
      <c r="AD195" s="64">
        <f t="shared" si="158"/>
        <v>0</v>
      </c>
      <c r="AE195" s="64">
        <f t="shared" si="158"/>
        <v>0</v>
      </c>
      <c r="AF195" s="64">
        <f t="shared" si="158"/>
        <v>0</v>
      </c>
      <c r="AG195" s="64">
        <f t="shared" si="158"/>
        <v>0</v>
      </c>
      <c r="AH195" s="64">
        <f t="shared" si="158"/>
        <v>0</v>
      </c>
      <c r="AI195" s="86">
        <f t="shared" si="158"/>
        <v>0</v>
      </c>
    </row>
    <row r="196" spans="1:35">
      <c r="A196" s="60" t="str">
        <f>AB145</f>
        <v>Anno 24</v>
      </c>
      <c r="B196" s="59" t="s">
        <v>61</v>
      </c>
      <c r="C196" s="88"/>
      <c r="D196" s="52">
        <f>D195</f>
        <v>0</v>
      </c>
      <c r="E196" s="78"/>
      <c r="Q196" s="63"/>
      <c r="R196" s="63"/>
      <c r="S196" s="63"/>
      <c r="T196" s="63"/>
      <c r="U196" s="63"/>
      <c r="V196" s="66"/>
      <c r="W196" s="66"/>
      <c r="X196" s="66"/>
      <c r="Y196" s="66"/>
      <c r="Z196" s="66"/>
      <c r="AA196" s="66"/>
      <c r="AB196" s="63">
        <f>$D196-AB195</f>
        <v>0</v>
      </c>
      <c r="AC196" s="63">
        <f t="shared" ref="AC196:AI196" si="159">IF(AB196-AC195&gt;0,AB196-AC195,0)</f>
        <v>0</v>
      </c>
      <c r="AD196" s="63">
        <f t="shared" si="159"/>
        <v>0</v>
      </c>
      <c r="AE196" s="63">
        <f t="shared" si="159"/>
        <v>0</v>
      </c>
      <c r="AF196" s="63">
        <f t="shared" si="159"/>
        <v>0</v>
      </c>
      <c r="AG196" s="63">
        <f t="shared" si="159"/>
        <v>0</v>
      </c>
      <c r="AH196" s="63">
        <f t="shared" si="159"/>
        <v>0</v>
      </c>
      <c r="AI196" s="79">
        <f t="shared" si="159"/>
        <v>0</v>
      </c>
    </row>
    <row r="197" spans="1:35">
      <c r="A197" s="95" t="str">
        <f>AC145</f>
        <v>Anno 25</v>
      </c>
      <c r="B197" s="80" t="str">
        <f>$B195</f>
        <v>Attrezzature</v>
      </c>
      <c r="C197" s="81">
        <f>$C$147</f>
        <v>0</v>
      </c>
      <c r="D197" s="52"/>
      <c r="E197" s="78"/>
      <c r="AC197" s="64">
        <f>IF($D197*$C197&gt;=$D198,$D198,$D197*$C197)</f>
        <v>0</v>
      </c>
      <c r="AD197" s="64">
        <f t="shared" ref="AD197:AI197" si="160">IF($D197*$C197&gt;=AC198,AC198,$D197*$C197)</f>
        <v>0</v>
      </c>
      <c r="AE197" s="64">
        <f t="shared" si="160"/>
        <v>0</v>
      </c>
      <c r="AF197" s="64">
        <f t="shared" si="160"/>
        <v>0</v>
      </c>
      <c r="AG197" s="64">
        <f t="shared" si="160"/>
        <v>0</v>
      </c>
      <c r="AH197" s="64">
        <f t="shared" si="160"/>
        <v>0</v>
      </c>
      <c r="AI197" s="86">
        <f t="shared" si="160"/>
        <v>0</v>
      </c>
    </row>
    <row r="198" spans="1:35">
      <c r="A198" s="60" t="str">
        <f>AC145</f>
        <v>Anno 25</v>
      </c>
      <c r="B198" s="59" t="s">
        <v>61</v>
      </c>
      <c r="C198" s="81"/>
      <c r="D198" s="52">
        <f>D197</f>
        <v>0</v>
      </c>
      <c r="E198" s="78"/>
      <c r="AC198" s="63">
        <f>$D198-AC197</f>
        <v>0</v>
      </c>
      <c r="AD198" s="63">
        <f t="shared" ref="AD198:AI198" si="161">IF(AC198-AD197&gt;0,AC198-AD197,0)</f>
        <v>0</v>
      </c>
      <c r="AE198" s="63">
        <f t="shared" si="161"/>
        <v>0</v>
      </c>
      <c r="AF198" s="63">
        <f t="shared" si="161"/>
        <v>0</v>
      </c>
      <c r="AG198" s="63">
        <f t="shared" si="161"/>
        <v>0</v>
      </c>
      <c r="AH198" s="63">
        <f t="shared" si="161"/>
        <v>0</v>
      </c>
      <c r="AI198" s="79">
        <f t="shared" si="161"/>
        <v>0</v>
      </c>
    </row>
    <row r="199" spans="1:35">
      <c r="A199" s="95" t="str">
        <f>AD145</f>
        <v>Anno 26</v>
      </c>
      <c r="B199" s="80" t="str">
        <f>$B195</f>
        <v>Attrezzature</v>
      </c>
      <c r="C199" s="81">
        <f>$C$147</f>
        <v>0</v>
      </c>
      <c r="D199" s="52"/>
      <c r="E199" s="78"/>
      <c r="AC199" s="64"/>
      <c r="AD199" s="64">
        <f>IF($D199*$C199&gt;=$D200,$D200,$D199*$C199)</f>
        <v>0</v>
      </c>
      <c r="AE199" s="64">
        <f>IF($D199*$C199&gt;=AD200,AD200,$D199*$C199)</f>
        <v>0</v>
      </c>
      <c r="AF199" s="64">
        <f>IF($D199*$C199&gt;=AE200,AE200,$D199*$C199)</f>
        <v>0</v>
      </c>
      <c r="AG199" s="64">
        <f>IF($D199*$C199&gt;=AF200,AF200,$D199*$C199)</f>
        <v>0</v>
      </c>
      <c r="AH199" s="64">
        <f>IF($D199*$C199&gt;=AG200,AG200,$D199*$C199)</f>
        <v>0</v>
      </c>
      <c r="AI199" s="86">
        <f>IF($D199*$C199&gt;=AH200,AH200,$D199*$C199)</f>
        <v>0</v>
      </c>
    </row>
    <row r="200" spans="1:35">
      <c r="A200" s="60" t="str">
        <f>AD145</f>
        <v>Anno 26</v>
      </c>
      <c r="B200" s="59" t="s">
        <v>61</v>
      </c>
      <c r="C200" s="81"/>
      <c r="D200" s="52">
        <f>D199</f>
        <v>0</v>
      </c>
      <c r="E200" s="78"/>
      <c r="AC200" s="63"/>
      <c r="AD200" s="63">
        <f>$D200-AD199</f>
        <v>0</v>
      </c>
      <c r="AE200" s="63">
        <f>IF(AD200-AE199&gt;0,AD200-AE199,0)</f>
        <v>0</v>
      </c>
      <c r="AF200" s="63">
        <f>IF(AE200-AF199&gt;0,AE200-AF199,0)</f>
        <v>0</v>
      </c>
      <c r="AG200" s="63">
        <f>IF(AF200-AG199&gt;0,AF200-AG199,0)</f>
        <v>0</v>
      </c>
      <c r="AH200" s="63">
        <f>IF(AG200-AH199&gt;0,AG200-AH199,0)</f>
        <v>0</v>
      </c>
      <c r="AI200" s="79">
        <f>IF(AH200-AI199&gt;0,AH200-AI199,0)</f>
        <v>0</v>
      </c>
    </row>
    <row r="201" spans="1:35">
      <c r="A201" s="95" t="str">
        <f>AE145</f>
        <v>Anno 27</v>
      </c>
      <c r="B201" s="80" t="str">
        <f>$B195</f>
        <v>Attrezzature</v>
      </c>
      <c r="C201" s="81">
        <f>$C$147</f>
        <v>0</v>
      </c>
      <c r="D201" s="52"/>
      <c r="E201" s="78"/>
      <c r="AC201" s="64"/>
      <c r="AD201" s="64"/>
      <c r="AE201" s="64">
        <f>IF($D201*$C201&gt;=$D202,$D202,$D201*$C201)</f>
        <v>0</v>
      </c>
      <c r="AF201" s="64">
        <f>IF($D201*$C201&gt;=AE202,AE202,$D201*$C201)</f>
        <v>0</v>
      </c>
      <c r="AG201" s="64">
        <f>IF($D201*$C201&gt;=AF202,AF202,$D201*$C201)</f>
        <v>0</v>
      </c>
      <c r="AH201" s="64">
        <f>IF($D201*$C201&gt;=AG202,AG202,$D201*$C201)</f>
        <v>0</v>
      </c>
      <c r="AI201" s="86">
        <f>IF($D201*$C201&gt;=AH202,AH202,$D201*$C201)</f>
        <v>0</v>
      </c>
    </row>
    <row r="202" spans="1:35">
      <c r="A202" s="60" t="str">
        <f>AE145</f>
        <v>Anno 27</v>
      </c>
      <c r="B202" s="59" t="s">
        <v>61</v>
      </c>
      <c r="C202" s="81"/>
      <c r="D202" s="52">
        <f>D201</f>
        <v>0</v>
      </c>
      <c r="E202" s="78"/>
      <c r="AC202" s="63"/>
      <c r="AD202" s="63"/>
      <c r="AE202" s="63">
        <f>$D202-AE201</f>
        <v>0</v>
      </c>
      <c r="AF202" s="63">
        <f>IF(AE202-AF201&gt;0,AE202-AF201,0)</f>
        <v>0</v>
      </c>
      <c r="AG202" s="63">
        <f>IF(AF202-AG201&gt;0,AF202-AG201,0)</f>
        <v>0</v>
      </c>
      <c r="AH202" s="63">
        <f>IF(AG202-AH201&gt;0,AG202-AH201,0)</f>
        <v>0</v>
      </c>
      <c r="AI202" s="79">
        <f>IF(AH202-AI201&gt;0,AH202-AI201,0)</f>
        <v>0</v>
      </c>
    </row>
    <row r="203" spans="1:35">
      <c r="A203" s="95" t="str">
        <f>AF145</f>
        <v>Anno 28</v>
      </c>
      <c r="B203" s="80" t="str">
        <f>$B195</f>
        <v>Attrezzature</v>
      </c>
      <c r="C203" s="81">
        <f>$C$147</f>
        <v>0</v>
      </c>
      <c r="D203" s="52"/>
      <c r="E203" s="78"/>
      <c r="AC203" s="64"/>
      <c r="AD203" s="64"/>
      <c r="AE203" s="64"/>
      <c r="AF203" s="64">
        <f>IF($D203*$C203&gt;=$D204,$D204,$D203*$C203)</f>
        <v>0</v>
      </c>
      <c r="AG203" s="64">
        <f>IF($D203*$C203&gt;=AF204,AF204,$D203*$C203)</f>
        <v>0</v>
      </c>
      <c r="AH203" s="64">
        <f>IF($D203*$C203&gt;=AG204,AG204,$D203*$C203)</f>
        <v>0</v>
      </c>
      <c r="AI203" s="86">
        <f>IF($D203*$C203&gt;=AH204,AH204,$D203*$C203)</f>
        <v>0</v>
      </c>
    </row>
    <row r="204" spans="1:35">
      <c r="A204" s="60" t="str">
        <f>AF145</f>
        <v>Anno 28</v>
      </c>
      <c r="B204" s="59" t="s">
        <v>61</v>
      </c>
      <c r="C204" s="81"/>
      <c r="D204" s="52">
        <f>D203</f>
        <v>0</v>
      </c>
      <c r="E204" s="78"/>
      <c r="AC204" s="63"/>
      <c r="AD204" s="63"/>
      <c r="AE204" s="63"/>
      <c r="AF204" s="63">
        <f>$D204-AF203</f>
        <v>0</v>
      </c>
      <c r="AG204" s="63">
        <f>IF(AF204-AG203&gt;0,AF204-AG203,0)</f>
        <v>0</v>
      </c>
      <c r="AH204" s="63">
        <f>IF(AG204-AH203&gt;0,AG204-AH203,0)</f>
        <v>0</v>
      </c>
      <c r="AI204" s="79">
        <f>IF(AH204-AI203&gt;0,AH204-AI203,0)</f>
        <v>0</v>
      </c>
    </row>
    <row r="205" spans="1:35">
      <c r="A205" s="95" t="str">
        <f>AG145</f>
        <v>Anno 29</v>
      </c>
      <c r="B205" s="80" t="str">
        <f>$B195</f>
        <v>Attrezzature</v>
      </c>
      <c r="C205" s="81">
        <f>$C$147</f>
        <v>0</v>
      </c>
      <c r="D205" s="52">
        <f>Ipotesi!AE32</f>
        <v>0</v>
      </c>
      <c r="E205" s="78"/>
      <c r="AC205" s="64"/>
      <c r="AD205" s="64"/>
      <c r="AE205" s="64"/>
      <c r="AF205" s="64"/>
      <c r="AG205" s="64">
        <f>IF($D205*$C205&gt;=$D206,$D206,$D205*$C205)</f>
        <v>0</v>
      </c>
      <c r="AH205" s="64">
        <f>IF($D205*$C205&gt;=AG206,AG206,$D205*$C205)</f>
        <v>0</v>
      </c>
      <c r="AI205" s="86">
        <f>IF($D205*$C205&gt;=AH206,AH206,$D205*$C205)</f>
        <v>0</v>
      </c>
    </row>
    <row r="206" spans="1:35">
      <c r="A206" s="60" t="str">
        <f>AG145</f>
        <v>Anno 29</v>
      </c>
      <c r="B206" s="59" t="s">
        <v>61</v>
      </c>
      <c r="C206" s="81"/>
      <c r="D206" s="52">
        <f>D205</f>
        <v>0</v>
      </c>
      <c r="E206" s="78"/>
      <c r="AC206" s="63"/>
      <c r="AD206" s="63"/>
      <c r="AE206" s="63"/>
      <c r="AF206" s="63"/>
      <c r="AG206" s="63">
        <f>$D206-AG205</f>
        <v>0</v>
      </c>
      <c r="AH206" s="63">
        <f>IF(AG206-AH205&gt;0,AG206-AH205,0)</f>
        <v>0</v>
      </c>
      <c r="AI206" s="79">
        <f>IF(AH206-AI205&gt;0,AH206-AI205,0)</f>
        <v>0</v>
      </c>
    </row>
    <row r="207" spans="1:35">
      <c r="A207" s="95" t="str">
        <f>AH145</f>
        <v>Anno 30</v>
      </c>
      <c r="B207" s="80" t="str">
        <f>$B195</f>
        <v>Attrezzature</v>
      </c>
      <c r="C207" s="81">
        <f>$C$147</f>
        <v>0</v>
      </c>
      <c r="D207" s="52"/>
      <c r="E207" s="78"/>
      <c r="AC207" s="64"/>
      <c r="AD207" s="64"/>
      <c r="AE207" s="64"/>
      <c r="AF207" s="64"/>
      <c r="AG207" s="64"/>
      <c r="AH207" s="64">
        <f>IF($D207*$C207&gt;=$D208,$D208,$D207*$C207)</f>
        <v>0</v>
      </c>
      <c r="AI207" s="86">
        <f>IF($D207*$C207&gt;=AH208,AH208,$D207*$C207)</f>
        <v>0</v>
      </c>
    </row>
    <row r="208" spans="1:35">
      <c r="A208" s="60" t="str">
        <f>AH145</f>
        <v>Anno 30</v>
      </c>
      <c r="B208" s="59" t="s">
        <v>61</v>
      </c>
      <c r="C208" s="81"/>
      <c r="D208" s="52">
        <f>D207</f>
        <v>0</v>
      </c>
      <c r="E208" s="78"/>
      <c r="AC208" s="63"/>
      <c r="AD208" s="63"/>
      <c r="AE208" s="63"/>
      <c r="AF208" s="63"/>
      <c r="AG208" s="63"/>
      <c r="AH208" s="63">
        <f>$D208-AH207</f>
        <v>0</v>
      </c>
      <c r="AI208" s="79">
        <f>IF(AH208-AI207&gt;0,AH208-AI207,0)</f>
        <v>0</v>
      </c>
    </row>
    <row r="209" spans="1:160">
      <c r="A209" s="95" t="str">
        <f>AI145</f>
        <v>Anno 31</v>
      </c>
      <c r="B209" s="80" t="str">
        <f>$B195</f>
        <v>Attrezzature</v>
      </c>
      <c r="C209" s="81">
        <f>$C$147</f>
        <v>0</v>
      </c>
      <c r="D209" s="52"/>
      <c r="E209" s="78"/>
      <c r="AC209" s="64"/>
      <c r="AD209" s="64"/>
      <c r="AE209" s="64"/>
      <c r="AF209" s="64"/>
      <c r="AG209" s="64"/>
      <c r="AH209" s="87"/>
      <c r="AI209" s="86">
        <f>IF($D209*$C209&gt;=$D210,$D210,$D209*$C209)</f>
        <v>0</v>
      </c>
    </row>
    <row r="210" spans="1:160">
      <c r="A210" s="60" t="str">
        <f>AI145</f>
        <v>Anno 31</v>
      </c>
      <c r="B210" s="59" t="s">
        <v>61</v>
      </c>
      <c r="C210" s="81"/>
      <c r="D210" s="52">
        <f>D209</f>
        <v>0</v>
      </c>
      <c r="E210" s="89"/>
      <c r="F210" s="90"/>
      <c r="G210" s="90"/>
      <c r="H210" s="90"/>
      <c r="I210" s="90"/>
      <c r="J210" s="91"/>
      <c r="K210" s="91"/>
      <c r="L210" s="91"/>
      <c r="M210" s="91"/>
      <c r="N210" s="91"/>
      <c r="O210" s="91"/>
      <c r="P210" s="91"/>
      <c r="Q210" s="92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0"/>
      <c r="AD210" s="90"/>
      <c r="AE210" s="90"/>
      <c r="AF210" s="90"/>
      <c r="AG210" s="90"/>
      <c r="AH210" s="91"/>
      <c r="AI210" s="94">
        <f>$D210-AI209</f>
        <v>0</v>
      </c>
    </row>
    <row r="211" spans="1:160" s="80" customFormat="1">
      <c r="A211" s="95"/>
      <c r="B211" s="96" t="s">
        <v>66</v>
      </c>
      <c r="C211" s="97"/>
      <c r="D211" s="54"/>
      <c r="E211" s="98">
        <f t="shared" ref="E211:AI212" si="162">E147+E149+E151+E153+E155+E157+E159+E161+E163+E165+E167+E169+E171+E173+E175+E177+E179+E181+E183+E185+E187+E189+E191+E193+E195+E197+E199+E201+E203+E205+E207+E209</f>
        <v>0</v>
      </c>
      <c r="F211" s="98">
        <f t="shared" si="162"/>
        <v>0</v>
      </c>
      <c r="G211" s="98">
        <f t="shared" si="162"/>
        <v>0</v>
      </c>
      <c r="H211" s="98">
        <f t="shared" si="162"/>
        <v>0</v>
      </c>
      <c r="I211" s="98">
        <f t="shared" si="162"/>
        <v>0</v>
      </c>
      <c r="J211" s="98">
        <f t="shared" si="162"/>
        <v>0</v>
      </c>
      <c r="K211" s="98">
        <f t="shared" si="162"/>
        <v>0</v>
      </c>
      <c r="L211" s="98">
        <f t="shared" si="162"/>
        <v>0</v>
      </c>
      <c r="M211" s="98">
        <f t="shared" si="162"/>
        <v>0</v>
      </c>
      <c r="N211" s="98">
        <f t="shared" si="162"/>
        <v>0</v>
      </c>
      <c r="O211" s="98">
        <f t="shared" si="162"/>
        <v>0</v>
      </c>
      <c r="P211" s="98">
        <f t="shared" si="162"/>
        <v>0</v>
      </c>
      <c r="Q211" s="98">
        <f t="shared" si="162"/>
        <v>0</v>
      </c>
      <c r="R211" s="98">
        <f t="shared" si="162"/>
        <v>0</v>
      </c>
      <c r="S211" s="98">
        <f t="shared" si="162"/>
        <v>0</v>
      </c>
      <c r="T211" s="98">
        <f t="shared" si="162"/>
        <v>0</v>
      </c>
      <c r="U211" s="98">
        <f t="shared" si="162"/>
        <v>0</v>
      </c>
      <c r="V211" s="98">
        <f t="shared" si="162"/>
        <v>0</v>
      </c>
      <c r="W211" s="98">
        <f t="shared" si="162"/>
        <v>0</v>
      </c>
      <c r="X211" s="98">
        <f t="shared" si="162"/>
        <v>0</v>
      </c>
      <c r="Y211" s="98">
        <f t="shared" si="162"/>
        <v>0</v>
      </c>
      <c r="Z211" s="98">
        <f t="shared" si="162"/>
        <v>0</v>
      </c>
      <c r="AA211" s="98">
        <f t="shared" si="162"/>
        <v>0</v>
      </c>
      <c r="AB211" s="98">
        <f t="shared" si="162"/>
        <v>0</v>
      </c>
      <c r="AC211" s="98">
        <f t="shared" si="162"/>
        <v>0</v>
      </c>
      <c r="AD211" s="98">
        <f t="shared" si="162"/>
        <v>0</v>
      </c>
      <c r="AE211" s="98">
        <f t="shared" si="162"/>
        <v>0</v>
      </c>
      <c r="AF211" s="98">
        <f t="shared" si="162"/>
        <v>0</v>
      </c>
      <c r="AG211" s="98">
        <f t="shared" si="162"/>
        <v>0</v>
      </c>
      <c r="AH211" s="98">
        <f t="shared" si="162"/>
        <v>0</v>
      </c>
      <c r="AI211" s="99">
        <f t="shared" si="162"/>
        <v>0</v>
      </c>
      <c r="AJ211" s="64">
        <f>SUM(E211:AI211)</f>
        <v>0</v>
      </c>
    </row>
    <row r="212" spans="1:160">
      <c r="B212" s="100" t="s">
        <v>67</v>
      </c>
      <c r="C212" s="101"/>
      <c r="D212" s="55"/>
      <c r="E212" s="89">
        <f t="shared" si="162"/>
        <v>0</v>
      </c>
      <c r="F212" s="89">
        <f t="shared" si="162"/>
        <v>0</v>
      </c>
      <c r="G212" s="89">
        <f t="shared" si="162"/>
        <v>0</v>
      </c>
      <c r="H212" s="89">
        <f t="shared" si="162"/>
        <v>0</v>
      </c>
      <c r="I212" s="89">
        <f t="shared" si="162"/>
        <v>0</v>
      </c>
      <c r="J212" s="89">
        <f t="shared" si="162"/>
        <v>0</v>
      </c>
      <c r="K212" s="89">
        <f t="shared" si="162"/>
        <v>0</v>
      </c>
      <c r="L212" s="89">
        <f t="shared" si="162"/>
        <v>0</v>
      </c>
      <c r="M212" s="89">
        <f t="shared" si="162"/>
        <v>0</v>
      </c>
      <c r="N212" s="89">
        <f t="shared" si="162"/>
        <v>0</v>
      </c>
      <c r="O212" s="89">
        <f t="shared" si="162"/>
        <v>0</v>
      </c>
      <c r="P212" s="89">
        <f t="shared" si="162"/>
        <v>0</v>
      </c>
      <c r="Q212" s="89">
        <f t="shared" si="162"/>
        <v>0</v>
      </c>
      <c r="R212" s="89">
        <f t="shared" si="162"/>
        <v>0</v>
      </c>
      <c r="S212" s="89">
        <f t="shared" si="162"/>
        <v>0</v>
      </c>
      <c r="T212" s="89">
        <f t="shared" si="162"/>
        <v>0</v>
      </c>
      <c r="U212" s="89">
        <f t="shared" si="162"/>
        <v>0</v>
      </c>
      <c r="V212" s="89">
        <f t="shared" si="162"/>
        <v>0</v>
      </c>
      <c r="W212" s="89">
        <f t="shared" si="162"/>
        <v>0</v>
      </c>
      <c r="X212" s="89">
        <f t="shared" si="162"/>
        <v>0</v>
      </c>
      <c r="Y212" s="89">
        <f t="shared" si="162"/>
        <v>0</v>
      </c>
      <c r="Z212" s="89">
        <f t="shared" si="162"/>
        <v>0</v>
      </c>
      <c r="AA212" s="89">
        <f t="shared" si="162"/>
        <v>0</v>
      </c>
      <c r="AB212" s="89">
        <f t="shared" si="162"/>
        <v>0</v>
      </c>
      <c r="AC212" s="89">
        <f t="shared" si="162"/>
        <v>0</v>
      </c>
      <c r="AD212" s="89">
        <f t="shared" si="162"/>
        <v>0</v>
      </c>
      <c r="AE212" s="89">
        <f t="shared" si="162"/>
        <v>0</v>
      </c>
      <c r="AF212" s="89">
        <f t="shared" si="162"/>
        <v>0</v>
      </c>
      <c r="AG212" s="89">
        <f t="shared" si="162"/>
        <v>0</v>
      </c>
      <c r="AH212" s="89">
        <f t="shared" si="162"/>
        <v>0</v>
      </c>
      <c r="AI212" s="102">
        <f t="shared" si="162"/>
        <v>0</v>
      </c>
    </row>
    <row r="213" spans="1:160" s="80" customFormat="1">
      <c r="A213" s="95"/>
      <c r="B213" s="96" t="s">
        <v>70</v>
      </c>
      <c r="C213" s="97"/>
      <c r="D213" s="56"/>
      <c r="E213" s="103">
        <f>D149</f>
        <v>0</v>
      </c>
      <c r="F213" s="103">
        <f>D151</f>
        <v>0</v>
      </c>
      <c r="G213" s="103">
        <f>D153</f>
        <v>0</v>
      </c>
      <c r="H213" s="103">
        <f>D155</f>
        <v>0</v>
      </c>
      <c r="I213" s="103">
        <f>D157</f>
        <v>0</v>
      </c>
      <c r="J213" s="104">
        <f>$D159</f>
        <v>0</v>
      </c>
      <c r="K213" s="104">
        <f>$D161</f>
        <v>0</v>
      </c>
      <c r="L213" s="104">
        <f>$D163</f>
        <v>0</v>
      </c>
      <c r="M213" s="104">
        <f>$D165</f>
        <v>0</v>
      </c>
      <c r="N213" s="104">
        <f>$D167</f>
        <v>0</v>
      </c>
      <c r="O213" s="104">
        <f>$D169</f>
        <v>0</v>
      </c>
      <c r="P213" s="104">
        <f>$D171</f>
        <v>0</v>
      </c>
      <c r="Q213" s="104">
        <f>$D173</f>
        <v>0</v>
      </c>
      <c r="R213" s="104">
        <f>$D175</f>
        <v>0</v>
      </c>
      <c r="S213" s="104">
        <f>$D177</f>
        <v>0</v>
      </c>
      <c r="T213" s="104">
        <f>$D179</f>
        <v>0</v>
      </c>
      <c r="U213" s="104">
        <f>$D181</f>
        <v>0</v>
      </c>
      <c r="V213" s="104">
        <f>$D183</f>
        <v>0</v>
      </c>
      <c r="W213" s="104">
        <f>$D185</f>
        <v>0</v>
      </c>
      <c r="X213" s="104">
        <f>$D187</f>
        <v>0</v>
      </c>
      <c r="Y213" s="104">
        <f>$D189</f>
        <v>0</v>
      </c>
      <c r="Z213" s="104">
        <f>$D191</f>
        <v>0</v>
      </c>
      <c r="AA213" s="104">
        <f>$D193</f>
        <v>0</v>
      </c>
      <c r="AB213" s="104">
        <f>$D195</f>
        <v>0</v>
      </c>
      <c r="AC213" s="104">
        <f>$D197</f>
        <v>0</v>
      </c>
      <c r="AD213" s="104">
        <f>$D199</f>
        <v>0</v>
      </c>
      <c r="AE213" s="104">
        <f>$D201</f>
        <v>0</v>
      </c>
      <c r="AF213" s="104">
        <f>$D203</f>
        <v>0</v>
      </c>
      <c r="AG213" s="104">
        <f>$D205</f>
        <v>0</v>
      </c>
      <c r="AH213" s="104">
        <f>$D207</f>
        <v>0</v>
      </c>
      <c r="AI213" s="104">
        <f>$D209</f>
        <v>0</v>
      </c>
      <c r="AJ213" s="64">
        <f>SUM(E213:AI213)</f>
        <v>0</v>
      </c>
    </row>
    <row r="214" spans="1:160">
      <c r="B214" s="105" t="s">
        <v>71</v>
      </c>
      <c r="C214" s="106"/>
      <c r="D214" s="57"/>
      <c r="E214" s="107">
        <f>E213</f>
        <v>0</v>
      </c>
      <c r="F214" s="107">
        <f t="shared" ref="F214:AI214" si="163">E214+F213</f>
        <v>0</v>
      </c>
      <c r="G214" s="107">
        <f t="shared" si="163"/>
        <v>0</v>
      </c>
      <c r="H214" s="107">
        <f t="shared" si="163"/>
        <v>0</v>
      </c>
      <c r="I214" s="107">
        <f t="shared" si="163"/>
        <v>0</v>
      </c>
      <c r="J214" s="107">
        <f t="shared" si="163"/>
        <v>0</v>
      </c>
      <c r="K214" s="107">
        <f t="shared" si="163"/>
        <v>0</v>
      </c>
      <c r="L214" s="107">
        <f t="shared" si="163"/>
        <v>0</v>
      </c>
      <c r="M214" s="107">
        <f t="shared" si="163"/>
        <v>0</v>
      </c>
      <c r="N214" s="107">
        <f t="shared" si="163"/>
        <v>0</v>
      </c>
      <c r="O214" s="107">
        <f t="shared" si="163"/>
        <v>0</v>
      </c>
      <c r="P214" s="107">
        <f t="shared" si="163"/>
        <v>0</v>
      </c>
      <c r="Q214" s="107">
        <f t="shared" si="163"/>
        <v>0</v>
      </c>
      <c r="R214" s="107">
        <f t="shared" si="163"/>
        <v>0</v>
      </c>
      <c r="S214" s="107">
        <f t="shared" si="163"/>
        <v>0</v>
      </c>
      <c r="T214" s="107">
        <f t="shared" si="163"/>
        <v>0</v>
      </c>
      <c r="U214" s="107">
        <f t="shared" si="163"/>
        <v>0</v>
      </c>
      <c r="V214" s="107">
        <f t="shared" si="163"/>
        <v>0</v>
      </c>
      <c r="W214" s="107">
        <f t="shared" si="163"/>
        <v>0</v>
      </c>
      <c r="X214" s="107">
        <f t="shared" si="163"/>
        <v>0</v>
      </c>
      <c r="Y214" s="107">
        <f t="shared" si="163"/>
        <v>0</v>
      </c>
      <c r="Z214" s="107">
        <f t="shared" si="163"/>
        <v>0</v>
      </c>
      <c r="AA214" s="107">
        <f t="shared" si="163"/>
        <v>0</v>
      </c>
      <c r="AB214" s="107">
        <f t="shared" si="163"/>
        <v>0</v>
      </c>
      <c r="AC214" s="107">
        <f t="shared" si="163"/>
        <v>0</v>
      </c>
      <c r="AD214" s="107">
        <f t="shared" si="163"/>
        <v>0</v>
      </c>
      <c r="AE214" s="107">
        <f t="shared" si="163"/>
        <v>0</v>
      </c>
      <c r="AF214" s="107">
        <f t="shared" si="163"/>
        <v>0</v>
      </c>
      <c r="AG214" s="107">
        <f t="shared" si="163"/>
        <v>0</v>
      </c>
      <c r="AH214" s="107">
        <f t="shared" si="163"/>
        <v>0</v>
      </c>
      <c r="AI214" s="107">
        <f t="shared" si="163"/>
        <v>0</v>
      </c>
    </row>
    <row r="216" spans="1:160" ht="30">
      <c r="A216" s="68"/>
      <c r="B216" s="69" t="s">
        <v>143</v>
      </c>
      <c r="C216" s="49" t="s">
        <v>64</v>
      </c>
      <c r="D216" s="50" t="s">
        <v>65</v>
      </c>
      <c r="E216" s="51" t="str">
        <f>E3</f>
        <v>Anno 1</v>
      </c>
      <c r="F216" s="51" t="str">
        <f t="shared" ref="F216:AI216" si="164">F3</f>
        <v>Anno 2</v>
      </c>
      <c r="G216" s="51" t="str">
        <f t="shared" si="164"/>
        <v>Anno 3</v>
      </c>
      <c r="H216" s="51" t="str">
        <f t="shared" si="164"/>
        <v>Anno 4</v>
      </c>
      <c r="I216" s="51" t="str">
        <f t="shared" si="164"/>
        <v>Anno 5</v>
      </c>
      <c r="J216" s="51" t="str">
        <f t="shared" si="164"/>
        <v>Anno 6</v>
      </c>
      <c r="K216" s="51" t="str">
        <f t="shared" si="164"/>
        <v>Anno 7</v>
      </c>
      <c r="L216" s="51" t="str">
        <f t="shared" si="164"/>
        <v>Anno 8</v>
      </c>
      <c r="M216" s="51" t="str">
        <f t="shared" si="164"/>
        <v>Anno 9</v>
      </c>
      <c r="N216" s="51" t="str">
        <f t="shared" si="164"/>
        <v>Anno 10</v>
      </c>
      <c r="O216" s="51" t="str">
        <f t="shared" si="164"/>
        <v>Anno 11</v>
      </c>
      <c r="P216" s="51" t="str">
        <f t="shared" si="164"/>
        <v>Anno 12</v>
      </c>
      <c r="Q216" s="51" t="str">
        <f t="shared" si="164"/>
        <v>Anno 13</v>
      </c>
      <c r="R216" s="51" t="str">
        <f t="shared" si="164"/>
        <v>Anno 14</v>
      </c>
      <c r="S216" s="51" t="str">
        <f t="shared" si="164"/>
        <v>Anno 15</v>
      </c>
      <c r="T216" s="51" t="str">
        <f t="shared" si="164"/>
        <v>Anno 16</v>
      </c>
      <c r="U216" s="51" t="str">
        <f t="shared" si="164"/>
        <v>Anno 17</v>
      </c>
      <c r="V216" s="51" t="str">
        <f t="shared" si="164"/>
        <v>Anno 18</v>
      </c>
      <c r="W216" s="51" t="str">
        <f t="shared" si="164"/>
        <v>Anno 19</v>
      </c>
      <c r="X216" s="51" t="str">
        <f t="shared" si="164"/>
        <v>Anno 20</v>
      </c>
      <c r="Y216" s="51" t="str">
        <f t="shared" si="164"/>
        <v>Anno 21</v>
      </c>
      <c r="Z216" s="51" t="str">
        <f t="shared" si="164"/>
        <v>Anno 22</v>
      </c>
      <c r="AA216" s="51" t="str">
        <f t="shared" si="164"/>
        <v>Anno 23</v>
      </c>
      <c r="AB216" s="51" t="str">
        <f t="shared" si="164"/>
        <v>Anno 24</v>
      </c>
      <c r="AC216" s="51" t="str">
        <f t="shared" si="164"/>
        <v>Anno 25</v>
      </c>
      <c r="AD216" s="51" t="str">
        <f t="shared" si="164"/>
        <v>Anno 26</v>
      </c>
      <c r="AE216" s="51" t="str">
        <f t="shared" si="164"/>
        <v>Anno 27</v>
      </c>
      <c r="AF216" s="51" t="str">
        <f t="shared" si="164"/>
        <v>Anno 28</v>
      </c>
      <c r="AG216" s="51" t="str">
        <f t="shared" si="164"/>
        <v>Anno 29</v>
      </c>
      <c r="AH216" s="51" t="str">
        <f t="shared" si="164"/>
        <v>Anno 30</v>
      </c>
      <c r="AI216" s="51" t="str">
        <f t="shared" si="164"/>
        <v>Anno 31</v>
      </c>
    </row>
    <row r="217" spans="1:160" ht="4.5" customHeight="1">
      <c r="AI217" s="70"/>
    </row>
    <row r="218" spans="1:160">
      <c r="B218" s="71" t="str">
        <f>+Ipotesi!$A$33</f>
        <v>Revisione generale</v>
      </c>
      <c r="C218" s="72">
        <f>Ipotesi!$C$44</f>
        <v>0</v>
      </c>
      <c r="D218" s="73"/>
      <c r="E218" s="74">
        <f t="shared" ref="E218:AI218" si="165">IF($D218*$C218&gt;=D219,D219,$D218*$C218)</f>
        <v>0</v>
      </c>
      <c r="F218" s="75">
        <f t="shared" si="165"/>
        <v>0</v>
      </c>
      <c r="G218" s="75">
        <f t="shared" si="165"/>
        <v>0</v>
      </c>
      <c r="H218" s="75">
        <f t="shared" si="165"/>
        <v>0</v>
      </c>
      <c r="I218" s="75">
        <f t="shared" si="165"/>
        <v>0</v>
      </c>
      <c r="J218" s="75">
        <f t="shared" si="165"/>
        <v>0</v>
      </c>
      <c r="K218" s="75">
        <f t="shared" si="165"/>
        <v>0</v>
      </c>
      <c r="L218" s="75">
        <f t="shared" si="165"/>
        <v>0</v>
      </c>
      <c r="M218" s="75">
        <f t="shared" si="165"/>
        <v>0</v>
      </c>
      <c r="N218" s="75">
        <f t="shared" si="165"/>
        <v>0</v>
      </c>
      <c r="O218" s="75">
        <f t="shared" si="165"/>
        <v>0</v>
      </c>
      <c r="P218" s="75">
        <f t="shared" si="165"/>
        <v>0</v>
      </c>
      <c r="Q218" s="75">
        <f t="shared" si="165"/>
        <v>0</v>
      </c>
      <c r="R218" s="75">
        <f t="shared" si="165"/>
        <v>0</v>
      </c>
      <c r="S218" s="75">
        <f t="shared" si="165"/>
        <v>0</v>
      </c>
      <c r="T218" s="75">
        <f t="shared" si="165"/>
        <v>0</v>
      </c>
      <c r="U218" s="75">
        <f t="shared" si="165"/>
        <v>0</v>
      </c>
      <c r="V218" s="75">
        <f t="shared" si="165"/>
        <v>0</v>
      </c>
      <c r="W218" s="75">
        <f t="shared" si="165"/>
        <v>0</v>
      </c>
      <c r="X218" s="75">
        <f t="shared" si="165"/>
        <v>0</v>
      </c>
      <c r="Y218" s="75">
        <f t="shared" si="165"/>
        <v>0</v>
      </c>
      <c r="Z218" s="75">
        <f t="shared" si="165"/>
        <v>0</v>
      </c>
      <c r="AA218" s="75">
        <f t="shared" si="165"/>
        <v>0</v>
      </c>
      <c r="AB218" s="75">
        <f t="shared" si="165"/>
        <v>0</v>
      </c>
      <c r="AC218" s="75">
        <f t="shared" si="165"/>
        <v>0</v>
      </c>
      <c r="AD218" s="75">
        <f t="shared" si="165"/>
        <v>0</v>
      </c>
      <c r="AE218" s="75">
        <f t="shared" si="165"/>
        <v>0</v>
      </c>
      <c r="AF218" s="75">
        <f t="shared" si="165"/>
        <v>0</v>
      </c>
      <c r="AG218" s="75">
        <f t="shared" si="165"/>
        <v>0</v>
      </c>
      <c r="AH218" s="75">
        <f t="shared" si="165"/>
        <v>0</v>
      </c>
      <c r="AI218" s="76">
        <f t="shared" si="165"/>
        <v>0</v>
      </c>
    </row>
    <row r="219" spans="1:160">
      <c r="B219" s="71" t="s">
        <v>61</v>
      </c>
      <c r="C219" s="72"/>
      <c r="D219" s="77"/>
      <c r="E219" s="78">
        <f>D219-E218</f>
        <v>0</v>
      </c>
      <c r="F219" s="63">
        <f t="shared" ref="F219:AI219" si="166">IF(E219-F218&gt;0,E219-F218,0)</f>
        <v>0</v>
      </c>
      <c r="G219" s="63">
        <f t="shared" si="166"/>
        <v>0</v>
      </c>
      <c r="H219" s="63">
        <f t="shared" si="166"/>
        <v>0</v>
      </c>
      <c r="I219" s="63">
        <f t="shared" si="166"/>
        <v>0</v>
      </c>
      <c r="J219" s="63">
        <f t="shared" si="166"/>
        <v>0</v>
      </c>
      <c r="K219" s="63">
        <f t="shared" si="166"/>
        <v>0</v>
      </c>
      <c r="L219" s="63">
        <f t="shared" si="166"/>
        <v>0</v>
      </c>
      <c r="M219" s="63">
        <f t="shared" si="166"/>
        <v>0</v>
      </c>
      <c r="N219" s="63">
        <f t="shared" si="166"/>
        <v>0</v>
      </c>
      <c r="O219" s="63">
        <f t="shared" si="166"/>
        <v>0</v>
      </c>
      <c r="P219" s="63">
        <f t="shared" si="166"/>
        <v>0</v>
      </c>
      <c r="Q219" s="63">
        <f t="shared" si="166"/>
        <v>0</v>
      </c>
      <c r="R219" s="63">
        <f t="shared" si="166"/>
        <v>0</v>
      </c>
      <c r="S219" s="63">
        <f t="shared" si="166"/>
        <v>0</v>
      </c>
      <c r="T219" s="63">
        <f t="shared" si="166"/>
        <v>0</v>
      </c>
      <c r="U219" s="63">
        <f t="shared" si="166"/>
        <v>0</v>
      </c>
      <c r="V219" s="63">
        <f t="shared" si="166"/>
        <v>0</v>
      </c>
      <c r="W219" s="63">
        <f t="shared" si="166"/>
        <v>0</v>
      </c>
      <c r="X219" s="63">
        <f t="shared" si="166"/>
        <v>0</v>
      </c>
      <c r="Y219" s="63">
        <f t="shared" si="166"/>
        <v>0</v>
      </c>
      <c r="Z219" s="63">
        <f t="shared" si="166"/>
        <v>0</v>
      </c>
      <c r="AA219" s="63">
        <f t="shared" si="166"/>
        <v>0</v>
      </c>
      <c r="AB219" s="63">
        <f t="shared" si="166"/>
        <v>0</v>
      </c>
      <c r="AC219" s="63">
        <f t="shared" si="166"/>
        <v>0</v>
      </c>
      <c r="AD219" s="63">
        <f t="shared" si="166"/>
        <v>0</v>
      </c>
      <c r="AE219" s="63">
        <f t="shared" si="166"/>
        <v>0</v>
      </c>
      <c r="AF219" s="63">
        <f t="shared" si="166"/>
        <v>0</v>
      </c>
      <c r="AG219" s="63">
        <f t="shared" si="166"/>
        <v>0</v>
      </c>
      <c r="AH219" s="63">
        <f t="shared" si="166"/>
        <v>0</v>
      </c>
      <c r="AI219" s="79">
        <f t="shared" si="166"/>
        <v>0</v>
      </c>
    </row>
    <row r="220" spans="1:160" s="80" customFormat="1">
      <c r="A220" s="95" t="str">
        <f>E216</f>
        <v>Anno 1</v>
      </c>
      <c r="B220" s="80" t="str">
        <f>$B218</f>
        <v>Revisione generale</v>
      </c>
      <c r="C220" s="81">
        <f>$C$218</f>
        <v>0</v>
      </c>
      <c r="D220" s="52">
        <f>Ipotesi!C33</f>
        <v>0</v>
      </c>
      <c r="E220" s="82">
        <f t="shared" ref="E220:AI220" si="167">IF($D220*$C220&gt;=D221,D221,$D220*$C220)</f>
        <v>0</v>
      </c>
      <c r="F220" s="83">
        <f t="shared" si="167"/>
        <v>0</v>
      </c>
      <c r="G220" s="83">
        <f t="shared" si="167"/>
        <v>0</v>
      </c>
      <c r="H220" s="83">
        <f t="shared" si="167"/>
        <v>0</v>
      </c>
      <c r="I220" s="83">
        <f t="shared" si="167"/>
        <v>0</v>
      </c>
      <c r="J220" s="83">
        <f t="shared" si="167"/>
        <v>0</v>
      </c>
      <c r="K220" s="83">
        <f t="shared" si="167"/>
        <v>0</v>
      </c>
      <c r="L220" s="83">
        <f t="shared" si="167"/>
        <v>0</v>
      </c>
      <c r="M220" s="83">
        <f t="shared" si="167"/>
        <v>0</v>
      </c>
      <c r="N220" s="83">
        <f t="shared" si="167"/>
        <v>0</v>
      </c>
      <c r="O220" s="83">
        <f t="shared" si="167"/>
        <v>0</v>
      </c>
      <c r="P220" s="83">
        <f t="shared" si="167"/>
        <v>0</v>
      </c>
      <c r="Q220" s="83">
        <f t="shared" si="167"/>
        <v>0</v>
      </c>
      <c r="R220" s="83">
        <f t="shared" si="167"/>
        <v>0</v>
      </c>
      <c r="S220" s="83">
        <f t="shared" si="167"/>
        <v>0</v>
      </c>
      <c r="T220" s="83">
        <f t="shared" si="167"/>
        <v>0</v>
      </c>
      <c r="U220" s="83">
        <f t="shared" si="167"/>
        <v>0</v>
      </c>
      <c r="V220" s="83">
        <f t="shared" si="167"/>
        <v>0</v>
      </c>
      <c r="W220" s="83">
        <f t="shared" si="167"/>
        <v>0</v>
      </c>
      <c r="X220" s="83">
        <f t="shared" si="167"/>
        <v>0</v>
      </c>
      <c r="Y220" s="83">
        <f t="shared" si="167"/>
        <v>0</v>
      </c>
      <c r="Z220" s="83">
        <f t="shared" si="167"/>
        <v>0</v>
      </c>
      <c r="AA220" s="83">
        <f t="shared" si="167"/>
        <v>0</v>
      </c>
      <c r="AB220" s="83">
        <f t="shared" si="167"/>
        <v>0</v>
      </c>
      <c r="AC220" s="83">
        <f t="shared" si="167"/>
        <v>0</v>
      </c>
      <c r="AD220" s="83">
        <f t="shared" si="167"/>
        <v>0</v>
      </c>
      <c r="AE220" s="83">
        <f t="shared" si="167"/>
        <v>0</v>
      </c>
      <c r="AF220" s="83">
        <f t="shared" si="167"/>
        <v>0</v>
      </c>
      <c r="AG220" s="83">
        <f t="shared" si="167"/>
        <v>0</v>
      </c>
      <c r="AH220" s="83">
        <f t="shared" si="167"/>
        <v>0</v>
      </c>
      <c r="AI220" s="84">
        <f t="shared" si="167"/>
        <v>0</v>
      </c>
      <c r="FD220" s="59"/>
    </row>
    <row r="221" spans="1:160">
      <c r="A221" s="60" t="str">
        <f>E216</f>
        <v>Anno 1</v>
      </c>
      <c r="B221" s="59" t="s">
        <v>61</v>
      </c>
      <c r="C221" s="81"/>
      <c r="D221" s="52">
        <f>D220</f>
        <v>0</v>
      </c>
      <c r="E221" s="78">
        <f>$D221-E220</f>
        <v>0</v>
      </c>
      <c r="F221" s="63">
        <f t="shared" ref="F221:AI221" si="168">IF(E221-F220&gt;0,E221-F220,0)</f>
        <v>0</v>
      </c>
      <c r="G221" s="63">
        <f t="shared" si="168"/>
        <v>0</v>
      </c>
      <c r="H221" s="63">
        <f t="shared" si="168"/>
        <v>0</v>
      </c>
      <c r="I221" s="63">
        <f t="shared" si="168"/>
        <v>0</v>
      </c>
      <c r="J221" s="63">
        <f t="shared" si="168"/>
        <v>0</v>
      </c>
      <c r="K221" s="63">
        <f t="shared" si="168"/>
        <v>0</v>
      </c>
      <c r="L221" s="63">
        <f t="shared" si="168"/>
        <v>0</v>
      </c>
      <c r="M221" s="63">
        <f t="shared" si="168"/>
        <v>0</v>
      </c>
      <c r="N221" s="63">
        <f t="shared" si="168"/>
        <v>0</v>
      </c>
      <c r="O221" s="63">
        <f t="shared" si="168"/>
        <v>0</v>
      </c>
      <c r="P221" s="63">
        <f t="shared" si="168"/>
        <v>0</v>
      </c>
      <c r="Q221" s="63">
        <f t="shared" si="168"/>
        <v>0</v>
      </c>
      <c r="R221" s="63">
        <f t="shared" si="168"/>
        <v>0</v>
      </c>
      <c r="S221" s="63">
        <f t="shared" si="168"/>
        <v>0</v>
      </c>
      <c r="T221" s="63">
        <f t="shared" si="168"/>
        <v>0</v>
      </c>
      <c r="U221" s="63">
        <f t="shared" si="168"/>
        <v>0</v>
      </c>
      <c r="V221" s="63">
        <f t="shared" si="168"/>
        <v>0</v>
      </c>
      <c r="W221" s="63">
        <f t="shared" si="168"/>
        <v>0</v>
      </c>
      <c r="X221" s="63">
        <f t="shared" si="168"/>
        <v>0</v>
      </c>
      <c r="Y221" s="63">
        <f t="shared" si="168"/>
        <v>0</v>
      </c>
      <c r="Z221" s="63">
        <f t="shared" si="168"/>
        <v>0</v>
      </c>
      <c r="AA221" s="63">
        <f t="shared" si="168"/>
        <v>0</v>
      </c>
      <c r="AB221" s="63">
        <f t="shared" si="168"/>
        <v>0</v>
      </c>
      <c r="AC221" s="63">
        <f t="shared" si="168"/>
        <v>0</v>
      </c>
      <c r="AD221" s="63">
        <f t="shared" si="168"/>
        <v>0</v>
      </c>
      <c r="AE221" s="63">
        <f t="shared" si="168"/>
        <v>0</v>
      </c>
      <c r="AF221" s="63">
        <f t="shared" si="168"/>
        <v>0</v>
      </c>
      <c r="AG221" s="63">
        <f t="shared" si="168"/>
        <v>0</v>
      </c>
      <c r="AH221" s="63">
        <f t="shared" si="168"/>
        <v>0</v>
      </c>
      <c r="AI221" s="79">
        <f t="shared" si="168"/>
        <v>0</v>
      </c>
    </row>
    <row r="222" spans="1:160" s="80" customFormat="1">
      <c r="A222" s="95" t="str">
        <f>F216</f>
        <v>Anno 2</v>
      </c>
      <c r="B222" s="80" t="str">
        <f>$B218</f>
        <v>Revisione generale</v>
      </c>
      <c r="C222" s="81">
        <f>$C$218</f>
        <v>0</v>
      </c>
      <c r="D222" s="52">
        <f>Ipotesi!D33</f>
        <v>0</v>
      </c>
      <c r="E222" s="85"/>
      <c r="F222" s="64">
        <f>IF($D222*$C222&gt;=$D223,$D223,$D222*$C222)</f>
        <v>0</v>
      </c>
      <c r="G222" s="64">
        <f t="shared" ref="G222:AI222" si="169">IF($D222*$C222&gt;=F223,F223,$D222*$C222)</f>
        <v>0</v>
      </c>
      <c r="H222" s="64">
        <f t="shared" si="169"/>
        <v>0</v>
      </c>
      <c r="I222" s="64">
        <f t="shared" si="169"/>
        <v>0</v>
      </c>
      <c r="J222" s="64">
        <f t="shared" si="169"/>
        <v>0</v>
      </c>
      <c r="K222" s="64">
        <f t="shared" si="169"/>
        <v>0</v>
      </c>
      <c r="L222" s="64">
        <f t="shared" si="169"/>
        <v>0</v>
      </c>
      <c r="M222" s="64">
        <f t="shared" si="169"/>
        <v>0</v>
      </c>
      <c r="N222" s="64">
        <f t="shared" si="169"/>
        <v>0</v>
      </c>
      <c r="O222" s="64">
        <f t="shared" si="169"/>
        <v>0</v>
      </c>
      <c r="P222" s="64">
        <f t="shared" si="169"/>
        <v>0</v>
      </c>
      <c r="Q222" s="64">
        <f t="shared" si="169"/>
        <v>0</v>
      </c>
      <c r="R222" s="64">
        <f t="shared" si="169"/>
        <v>0</v>
      </c>
      <c r="S222" s="64">
        <f t="shared" si="169"/>
        <v>0</v>
      </c>
      <c r="T222" s="64">
        <f t="shared" si="169"/>
        <v>0</v>
      </c>
      <c r="U222" s="64">
        <f t="shared" si="169"/>
        <v>0</v>
      </c>
      <c r="V222" s="64">
        <f t="shared" si="169"/>
        <v>0</v>
      </c>
      <c r="W222" s="64">
        <f t="shared" si="169"/>
        <v>0</v>
      </c>
      <c r="X222" s="64">
        <f t="shared" si="169"/>
        <v>0</v>
      </c>
      <c r="Y222" s="64">
        <f t="shared" si="169"/>
        <v>0</v>
      </c>
      <c r="Z222" s="64">
        <f t="shared" si="169"/>
        <v>0</v>
      </c>
      <c r="AA222" s="64">
        <f t="shared" si="169"/>
        <v>0</v>
      </c>
      <c r="AB222" s="64">
        <f t="shared" si="169"/>
        <v>0</v>
      </c>
      <c r="AC222" s="64">
        <f t="shared" si="169"/>
        <v>0</v>
      </c>
      <c r="AD222" s="64">
        <f t="shared" si="169"/>
        <v>0</v>
      </c>
      <c r="AE222" s="64">
        <f t="shared" si="169"/>
        <v>0</v>
      </c>
      <c r="AF222" s="64">
        <f t="shared" si="169"/>
        <v>0</v>
      </c>
      <c r="AG222" s="64">
        <f t="shared" si="169"/>
        <v>0</v>
      </c>
      <c r="AH222" s="64">
        <f t="shared" si="169"/>
        <v>0</v>
      </c>
      <c r="AI222" s="86">
        <f t="shared" si="169"/>
        <v>0</v>
      </c>
      <c r="FD222" s="59"/>
    </row>
    <row r="223" spans="1:160">
      <c r="A223" s="60" t="str">
        <f>F216</f>
        <v>Anno 2</v>
      </c>
      <c r="B223" s="59" t="s">
        <v>61</v>
      </c>
      <c r="C223" s="81"/>
      <c r="D223" s="52">
        <f>D222</f>
        <v>0</v>
      </c>
      <c r="E223" s="78"/>
      <c r="F223" s="63">
        <f>$D223-F222</f>
        <v>0</v>
      </c>
      <c r="G223" s="63">
        <f t="shared" ref="G223:AI223" si="170">IF(F223-G222&gt;0,F223-G222,0)</f>
        <v>0</v>
      </c>
      <c r="H223" s="63">
        <f t="shared" si="170"/>
        <v>0</v>
      </c>
      <c r="I223" s="63">
        <f t="shared" si="170"/>
        <v>0</v>
      </c>
      <c r="J223" s="63">
        <f t="shared" si="170"/>
        <v>0</v>
      </c>
      <c r="K223" s="63">
        <f t="shared" si="170"/>
        <v>0</v>
      </c>
      <c r="L223" s="63">
        <f t="shared" si="170"/>
        <v>0</v>
      </c>
      <c r="M223" s="63">
        <f t="shared" si="170"/>
        <v>0</v>
      </c>
      <c r="N223" s="63">
        <f t="shared" si="170"/>
        <v>0</v>
      </c>
      <c r="O223" s="63">
        <f t="shared" si="170"/>
        <v>0</v>
      </c>
      <c r="P223" s="63">
        <f t="shared" si="170"/>
        <v>0</v>
      </c>
      <c r="Q223" s="63">
        <f t="shared" si="170"/>
        <v>0</v>
      </c>
      <c r="R223" s="63">
        <f t="shared" si="170"/>
        <v>0</v>
      </c>
      <c r="S223" s="63">
        <f t="shared" si="170"/>
        <v>0</v>
      </c>
      <c r="T223" s="63">
        <f t="shared" si="170"/>
        <v>0</v>
      </c>
      <c r="U223" s="63">
        <f t="shared" si="170"/>
        <v>0</v>
      </c>
      <c r="V223" s="63">
        <f t="shared" si="170"/>
        <v>0</v>
      </c>
      <c r="W223" s="63">
        <f t="shared" si="170"/>
        <v>0</v>
      </c>
      <c r="X223" s="63">
        <f t="shared" si="170"/>
        <v>0</v>
      </c>
      <c r="Y223" s="63">
        <f t="shared" si="170"/>
        <v>0</v>
      </c>
      <c r="Z223" s="63">
        <f t="shared" si="170"/>
        <v>0</v>
      </c>
      <c r="AA223" s="63">
        <f t="shared" si="170"/>
        <v>0</v>
      </c>
      <c r="AB223" s="63">
        <f t="shared" si="170"/>
        <v>0</v>
      </c>
      <c r="AC223" s="63">
        <f t="shared" si="170"/>
        <v>0</v>
      </c>
      <c r="AD223" s="63">
        <f t="shared" si="170"/>
        <v>0</v>
      </c>
      <c r="AE223" s="63">
        <f t="shared" si="170"/>
        <v>0</v>
      </c>
      <c r="AF223" s="63">
        <f t="shared" si="170"/>
        <v>0</v>
      </c>
      <c r="AG223" s="63">
        <f t="shared" si="170"/>
        <v>0</v>
      </c>
      <c r="AH223" s="63">
        <f t="shared" si="170"/>
        <v>0</v>
      </c>
      <c r="AI223" s="79">
        <f t="shared" si="170"/>
        <v>0</v>
      </c>
    </row>
    <row r="224" spans="1:160" s="80" customFormat="1">
      <c r="A224" s="95" t="str">
        <f>G216</f>
        <v>Anno 3</v>
      </c>
      <c r="B224" s="80" t="str">
        <f>$B218</f>
        <v>Revisione generale</v>
      </c>
      <c r="C224" s="81">
        <f>$C$218</f>
        <v>0</v>
      </c>
      <c r="D224" s="52">
        <f>Ipotesi!E33</f>
        <v>0</v>
      </c>
      <c r="E224" s="85"/>
      <c r="F224" s="64"/>
      <c r="G224" s="64">
        <f>IF($D224*$C224&gt;=$D225,$D225,$D224*$C224)</f>
        <v>0</v>
      </c>
      <c r="H224" s="64">
        <f t="shared" ref="H224:AI224" si="171">IF($D224*$C224&gt;=G225,G225,$D224*$C224)</f>
        <v>0</v>
      </c>
      <c r="I224" s="64">
        <f t="shared" si="171"/>
        <v>0</v>
      </c>
      <c r="J224" s="64">
        <f t="shared" si="171"/>
        <v>0</v>
      </c>
      <c r="K224" s="64">
        <f t="shared" si="171"/>
        <v>0</v>
      </c>
      <c r="L224" s="64">
        <f t="shared" si="171"/>
        <v>0</v>
      </c>
      <c r="M224" s="64">
        <f t="shared" si="171"/>
        <v>0</v>
      </c>
      <c r="N224" s="64">
        <f t="shared" si="171"/>
        <v>0</v>
      </c>
      <c r="O224" s="64">
        <f t="shared" si="171"/>
        <v>0</v>
      </c>
      <c r="P224" s="64">
        <f t="shared" si="171"/>
        <v>0</v>
      </c>
      <c r="Q224" s="64">
        <f t="shared" si="171"/>
        <v>0</v>
      </c>
      <c r="R224" s="64">
        <f t="shared" si="171"/>
        <v>0</v>
      </c>
      <c r="S224" s="64">
        <f t="shared" si="171"/>
        <v>0</v>
      </c>
      <c r="T224" s="64">
        <f t="shared" si="171"/>
        <v>0</v>
      </c>
      <c r="U224" s="64">
        <f t="shared" si="171"/>
        <v>0</v>
      </c>
      <c r="V224" s="64">
        <f t="shared" si="171"/>
        <v>0</v>
      </c>
      <c r="W224" s="64">
        <f t="shared" si="171"/>
        <v>0</v>
      </c>
      <c r="X224" s="64">
        <f t="shared" si="171"/>
        <v>0</v>
      </c>
      <c r="Y224" s="64">
        <f t="shared" si="171"/>
        <v>0</v>
      </c>
      <c r="Z224" s="64">
        <f t="shared" si="171"/>
        <v>0</v>
      </c>
      <c r="AA224" s="64">
        <f t="shared" si="171"/>
        <v>0</v>
      </c>
      <c r="AB224" s="64">
        <f t="shared" si="171"/>
        <v>0</v>
      </c>
      <c r="AC224" s="64">
        <f t="shared" si="171"/>
        <v>0</v>
      </c>
      <c r="AD224" s="64">
        <f t="shared" si="171"/>
        <v>0</v>
      </c>
      <c r="AE224" s="64">
        <f t="shared" si="171"/>
        <v>0</v>
      </c>
      <c r="AF224" s="64">
        <f t="shared" si="171"/>
        <v>0</v>
      </c>
      <c r="AG224" s="64">
        <f t="shared" si="171"/>
        <v>0</v>
      </c>
      <c r="AH224" s="64">
        <f t="shared" si="171"/>
        <v>0</v>
      </c>
      <c r="AI224" s="86">
        <f t="shared" si="171"/>
        <v>0</v>
      </c>
      <c r="FD224" s="59"/>
    </row>
    <row r="225" spans="1:160">
      <c r="A225" s="60" t="str">
        <f>G216</f>
        <v>Anno 3</v>
      </c>
      <c r="B225" s="59" t="s">
        <v>61</v>
      </c>
      <c r="C225" s="81"/>
      <c r="D225" s="52">
        <f>D224</f>
        <v>0</v>
      </c>
      <c r="E225" s="78"/>
      <c r="G225" s="63">
        <f>$D225-G224</f>
        <v>0</v>
      </c>
      <c r="H225" s="63">
        <f t="shared" ref="H225:AI225" si="172">IF(G225-H224&gt;0,G225-H224,0)</f>
        <v>0</v>
      </c>
      <c r="I225" s="63">
        <f t="shared" si="172"/>
        <v>0</v>
      </c>
      <c r="J225" s="63">
        <f t="shared" si="172"/>
        <v>0</v>
      </c>
      <c r="K225" s="63">
        <f t="shared" si="172"/>
        <v>0</v>
      </c>
      <c r="L225" s="63">
        <f t="shared" si="172"/>
        <v>0</v>
      </c>
      <c r="M225" s="63">
        <f t="shared" si="172"/>
        <v>0</v>
      </c>
      <c r="N225" s="63">
        <f t="shared" si="172"/>
        <v>0</v>
      </c>
      <c r="O225" s="63">
        <f t="shared" si="172"/>
        <v>0</v>
      </c>
      <c r="P225" s="63">
        <f t="shared" si="172"/>
        <v>0</v>
      </c>
      <c r="Q225" s="63">
        <f t="shared" si="172"/>
        <v>0</v>
      </c>
      <c r="R225" s="63">
        <f t="shared" si="172"/>
        <v>0</v>
      </c>
      <c r="S225" s="63">
        <f t="shared" si="172"/>
        <v>0</v>
      </c>
      <c r="T225" s="63">
        <f t="shared" si="172"/>
        <v>0</v>
      </c>
      <c r="U225" s="63">
        <f t="shared" si="172"/>
        <v>0</v>
      </c>
      <c r="V225" s="63">
        <f t="shared" si="172"/>
        <v>0</v>
      </c>
      <c r="W225" s="63">
        <f t="shared" si="172"/>
        <v>0</v>
      </c>
      <c r="X225" s="63">
        <f t="shared" si="172"/>
        <v>0</v>
      </c>
      <c r="Y225" s="63">
        <f t="shared" si="172"/>
        <v>0</v>
      </c>
      <c r="Z225" s="63">
        <f t="shared" si="172"/>
        <v>0</v>
      </c>
      <c r="AA225" s="63">
        <f t="shared" si="172"/>
        <v>0</v>
      </c>
      <c r="AB225" s="63">
        <f t="shared" si="172"/>
        <v>0</v>
      </c>
      <c r="AC225" s="63">
        <f t="shared" si="172"/>
        <v>0</v>
      </c>
      <c r="AD225" s="63">
        <f t="shared" si="172"/>
        <v>0</v>
      </c>
      <c r="AE225" s="63">
        <f t="shared" si="172"/>
        <v>0</v>
      </c>
      <c r="AF225" s="63">
        <f t="shared" si="172"/>
        <v>0</v>
      </c>
      <c r="AG225" s="63">
        <f t="shared" si="172"/>
        <v>0</v>
      </c>
      <c r="AH225" s="63">
        <f t="shared" si="172"/>
        <v>0</v>
      </c>
      <c r="AI225" s="79">
        <f t="shared" si="172"/>
        <v>0</v>
      </c>
    </row>
    <row r="226" spans="1:160" s="80" customFormat="1">
      <c r="A226" s="95" t="str">
        <f>H216</f>
        <v>Anno 4</v>
      </c>
      <c r="B226" s="80" t="str">
        <f>$B218</f>
        <v>Revisione generale</v>
      </c>
      <c r="C226" s="81">
        <f>$C$218</f>
        <v>0</v>
      </c>
      <c r="D226" s="52">
        <f>Ipotesi!F33</f>
        <v>0</v>
      </c>
      <c r="E226" s="85"/>
      <c r="F226" s="64"/>
      <c r="G226" s="64"/>
      <c r="H226" s="64">
        <f>IF($D226*$C226&gt;=$D227,$D227,$D226*$C226)</f>
        <v>0</v>
      </c>
      <c r="I226" s="64">
        <f t="shared" ref="I226:AI226" si="173">IF($D226*$C226&gt;=H227,H227,$D226*$C226)</f>
        <v>0</v>
      </c>
      <c r="J226" s="64">
        <f t="shared" si="173"/>
        <v>0</v>
      </c>
      <c r="K226" s="64">
        <f t="shared" si="173"/>
        <v>0</v>
      </c>
      <c r="L226" s="64">
        <f t="shared" si="173"/>
        <v>0</v>
      </c>
      <c r="M226" s="64">
        <f t="shared" si="173"/>
        <v>0</v>
      </c>
      <c r="N226" s="64">
        <f t="shared" si="173"/>
        <v>0</v>
      </c>
      <c r="O226" s="64">
        <f t="shared" si="173"/>
        <v>0</v>
      </c>
      <c r="P226" s="64">
        <f t="shared" si="173"/>
        <v>0</v>
      </c>
      <c r="Q226" s="64">
        <f t="shared" si="173"/>
        <v>0</v>
      </c>
      <c r="R226" s="64">
        <f t="shared" si="173"/>
        <v>0</v>
      </c>
      <c r="S226" s="64">
        <f t="shared" si="173"/>
        <v>0</v>
      </c>
      <c r="T226" s="64">
        <f t="shared" si="173"/>
        <v>0</v>
      </c>
      <c r="U226" s="64">
        <f t="shared" si="173"/>
        <v>0</v>
      </c>
      <c r="V226" s="64">
        <f t="shared" si="173"/>
        <v>0</v>
      </c>
      <c r="W226" s="64">
        <f t="shared" si="173"/>
        <v>0</v>
      </c>
      <c r="X226" s="64">
        <f t="shared" si="173"/>
        <v>0</v>
      </c>
      <c r="Y226" s="64">
        <f t="shared" si="173"/>
        <v>0</v>
      </c>
      <c r="Z226" s="64">
        <f t="shared" si="173"/>
        <v>0</v>
      </c>
      <c r="AA226" s="64">
        <f t="shared" si="173"/>
        <v>0</v>
      </c>
      <c r="AB226" s="64">
        <f t="shared" si="173"/>
        <v>0</v>
      </c>
      <c r="AC226" s="64">
        <f t="shared" si="173"/>
        <v>0</v>
      </c>
      <c r="AD226" s="64">
        <f t="shared" si="173"/>
        <v>0</v>
      </c>
      <c r="AE226" s="64">
        <f t="shared" si="173"/>
        <v>0</v>
      </c>
      <c r="AF226" s="64">
        <f t="shared" si="173"/>
        <v>0</v>
      </c>
      <c r="AG226" s="64">
        <f t="shared" si="173"/>
        <v>0</v>
      </c>
      <c r="AH226" s="64">
        <f t="shared" si="173"/>
        <v>0</v>
      </c>
      <c r="AI226" s="86">
        <f t="shared" si="173"/>
        <v>0</v>
      </c>
      <c r="FD226" s="59"/>
    </row>
    <row r="227" spans="1:160">
      <c r="A227" s="60" t="str">
        <f>H216</f>
        <v>Anno 4</v>
      </c>
      <c r="B227" s="59" t="s">
        <v>61</v>
      </c>
      <c r="C227" s="81"/>
      <c r="D227" s="52">
        <f>D226</f>
        <v>0</v>
      </c>
      <c r="E227" s="78"/>
      <c r="H227" s="63">
        <f>$D227-H226</f>
        <v>0</v>
      </c>
      <c r="I227" s="63">
        <f t="shared" ref="I227:AI227" si="174">IF(H227-I226&gt;0,H227-I226,0)</f>
        <v>0</v>
      </c>
      <c r="J227" s="63">
        <f t="shared" si="174"/>
        <v>0</v>
      </c>
      <c r="K227" s="63">
        <f t="shared" si="174"/>
        <v>0</v>
      </c>
      <c r="L227" s="63">
        <f t="shared" si="174"/>
        <v>0</v>
      </c>
      <c r="M227" s="63">
        <f t="shared" si="174"/>
        <v>0</v>
      </c>
      <c r="N227" s="63">
        <f t="shared" si="174"/>
        <v>0</v>
      </c>
      <c r="O227" s="63">
        <f t="shared" si="174"/>
        <v>0</v>
      </c>
      <c r="P227" s="63">
        <f t="shared" si="174"/>
        <v>0</v>
      </c>
      <c r="Q227" s="63">
        <f t="shared" si="174"/>
        <v>0</v>
      </c>
      <c r="R227" s="63">
        <f t="shared" si="174"/>
        <v>0</v>
      </c>
      <c r="S227" s="63">
        <f t="shared" si="174"/>
        <v>0</v>
      </c>
      <c r="T227" s="63">
        <f t="shared" si="174"/>
        <v>0</v>
      </c>
      <c r="U227" s="63">
        <f t="shared" si="174"/>
        <v>0</v>
      </c>
      <c r="V227" s="63">
        <f t="shared" si="174"/>
        <v>0</v>
      </c>
      <c r="W227" s="63">
        <f t="shared" si="174"/>
        <v>0</v>
      </c>
      <c r="X227" s="63">
        <f t="shared" si="174"/>
        <v>0</v>
      </c>
      <c r="Y227" s="63">
        <f t="shared" si="174"/>
        <v>0</v>
      </c>
      <c r="Z227" s="63">
        <f t="shared" si="174"/>
        <v>0</v>
      </c>
      <c r="AA227" s="63">
        <f t="shared" si="174"/>
        <v>0</v>
      </c>
      <c r="AB227" s="63">
        <f t="shared" si="174"/>
        <v>0</v>
      </c>
      <c r="AC227" s="63">
        <f t="shared" si="174"/>
        <v>0</v>
      </c>
      <c r="AD227" s="63">
        <f t="shared" si="174"/>
        <v>0</v>
      </c>
      <c r="AE227" s="63">
        <f t="shared" si="174"/>
        <v>0</v>
      </c>
      <c r="AF227" s="63">
        <f t="shared" si="174"/>
        <v>0</v>
      </c>
      <c r="AG227" s="63">
        <f t="shared" si="174"/>
        <v>0</v>
      </c>
      <c r="AH227" s="63">
        <f t="shared" si="174"/>
        <v>0</v>
      </c>
      <c r="AI227" s="79">
        <f t="shared" si="174"/>
        <v>0</v>
      </c>
    </row>
    <row r="228" spans="1:160" s="80" customFormat="1">
      <c r="A228" s="95" t="str">
        <f>I216</f>
        <v>Anno 5</v>
      </c>
      <c r="B228" s="80" t="str">
        <f>$B218</f>
        <v>Revisione generale</v>
      </c>
      <c r="C228" s="81">
        <f>$C$218</f>
        <v>0</v>
      </c>
      <c r="D228" s="52">
        <f>D227</f>
        <v>0</v>
      </c>
      <c r="E228" s="85"/>
      <c r="F228" s="64"/>
      <c r="G228" s="64"/>
      <c r="H228" s="64"/>
      <c r="I228" s="64">
        <f>IF($D228*$C228&gt;=$D229,$D229,$D228*$C228)</f>
        <v>0</v>
      </c>
      <c r="J228" s="64">
        <f t="shared" ref="J228:AI228" si="175">IF($D228*$C228&gt;=I229,I229,$D228*$C228)</f>
        <v>0</v>
      </c>
      <c r="K228" s="64">
        <f t="shared" si="175"/>
        <v>0</v>
      </c>
      <c r="L228" s="64">
        <f t="shared" si="175"/>
        <v>0</v>
      </c>
      <c r="M228" s="64">
        <f t="shared" si="175"/>
        <v>0</v>
      </c>
      <c r="N228" s="64">
        <f t="shared" si="175"/>
        <v>0</v>
      </c>
      <c r="O228" s="64">
        <f t="shared" si="175"/>
        <v>0</v>
      </c>
      <c r="P228" s="64">
        <f t="shared" si="175"/>
        <v>0</v>
      </c>
      <c r="Q228" s="64">
        <f t="shared" si="175"/>
        <v>0</v>
      </c>
      <c r="R228" s="64">
        <f t="shared" si="175"/>
        <v>0</v>
      </c>
      <c r="S228" s="64">
        <f t="shared" si="175"/>
        <v>0</v>
      </c>
      <c r="T228" s="64">
        <f t="shared" si="175"/>
        <v>0</v>
      </c>
      <c r="U228" s="64">
        <f t="shared" si="175"/>
        <v>0</v>
      </c>
      <c r="V228" s="64">
        <f t="shared" si="175"/>
        <v>0</v>
      </c>
      <c r="W228" s="64">
        <f t="shared" si="175"/>
        <v>0</v>
      </c>
      <c r="X228" s="64">
        <f t="shared" si="175"/>
        <v>0</v>
      </c>
      <c r="Y228" s="64">
        <f t="shared" si="175"/>
        <v>0</v>
      </c>
      <c r="Z228" s="64">
        <f t="shared" si="175"/>
        <v>0</v>
      </c>
      <c r="AA228" s="64">
        <f t="shared" si="175"/>
        <v>0</v>
      </c>
      <c r="AB228" s="64">
        <f t="shared" si="175"/>
        <v>0</v>
      </c>
      <c r="AC228" s="64">
        <f t="shared" si="175"/>
        <v>0</v>
      </c>
      <c r="AD228" s="64">
        <f t="shared" si="175"/>
        <v>0</v>
      </c>
      <c r="AE228" s="64">
        <f t="shared" si="175"/>
        <v>0</v>
      </c>
      <c r="AF228" s="64">
        <f t="shared" si="175"/>
        <v>0</v>
      </c>
      <c r="AG228" s="64">
        <f t="shared" si="175"/>
        <v>0</v>
      </c>
      <c r="AH228" s="64">
        <f t="shared" si="175"/>
        <v>0</v>
      </c>
      <c r="AI228" s="86">
        <f t="shared" si="175"/>
        <v>0</v>
      </c>
      <c r="FD228" s="59"/>
    </row>
    <row r="229" spans="1:160">
      <c r="A229" s="60" t="str">
        <f>I216</f>
        <v>Anno 5</v>
      </c>
      <c r="B229" s="59" t="s">
        <v>61</v>
      </c>
      <c r="C229" s="81"/>
      <c r="D229" s="52">
        <f>D228</f>
        <v>0</v>
      </c>
      <c r="E229" s="78"/>
      <c r="I229" s="63">
        <f>$D229-I228</f>
        <v>0</v>
      </c>
      <c r="J229" s="63">
        <f t="shared" ref="J229:AI229" si="176">IF(I229-J228&gt;0,I229-J228,0)</f>
        <v>0</v>
      </c>
      <c r="K229" s="63">
        <f t="shared" si="176"/>
        <v>0</v>
      </c>
      <c r="L229" s="63">
        <f t="shared" si="176"/>
        <v>0</v>
      </c>
      <c r="M229" s="63">
        <f t="shared" si="176"/>
        <v>0</v>
      </c>
      <c r="N229" s="63">
        <f t="shared" si="176"/>
        <v>0</v>
      </c>
      <c r="O229" s="63">
        <f t="shared" si="176"/>
        <v>0</v>
      </c>
      <c r="P229" s="63">
        <f t="shared" si="176"/>
        <v>0</v>
      </c>
      <c r="Q229" s="63">
        <f t="shared" si="176"/>
        <v>0</v>
      </c>
      <c r="R229" s="63">
        <f t="shared" si="176"/>
        <v>0</v>
      </c>
      <c r="S229" s="63">
        <f t="shared" si="176"/>
        <v>0</v>
      </c>
      <c r="T229" s="63">
        <f t="shared" si="176"/>
        <v>0</v>
      </c>
      <c r="U229" s="63">
        <f t="shared" si="176"/>
        <v>0</v>
      </c>
      <c r="V229" s="63">
        <f t="shared" si="176"/>
        <v>0</v>
      </c>
      <c r="W229" s="63">
        <f t="shared" si="176"/>
        <v>0</v>
      </c>
      <c r="X229" s="63">
        <f t="shared" si="176"/>
        <v>0</v>
      </c>
      <c r="Y229" s="63">
        <f t="shared" si="176"/>
        <v>0</v>
      </c>
      <c r="Z229" s="63">
        <f t="shared" si="176"/>
        <v>0</v>
      </c>
      <c r="AA229" s="63">
        <f t="shared" si="176"/>
        <v>0</v>
      </c>
      <c r="AB229" s="63">
        <f t="shared" si="176"/>
        <v>0</v>
      </c>
      <c r="AC229" s="63">
        <f t="shared" si="176"/>
        <v>0</v>
      </c>
      <c r="AD229" s="63">
        <f t="shared" si="176"/>
        <v>0</v>
      </c>
      <c r="AE229" s="63">
        <f t="shared" si="176"/>
        <v>0</v>
      </c>
      <c r="AF229" s="63">
        <f t="shared" si="176"/>
        <v>0</v>
      </c>
      <c r="AG229" s="63">
        <f t="shared" si="176"/>
        <v>0</v>
      </c>
      <c r="AH229" s="63">
        <f t="shared" si="176"/>
        <v>0</v>
      </c>
      <c r="AI229" s="79">
        <f t="shared" si="176"/>
        <v>0</v>
      </c>
    </row>
    <row r="230" spans="1:160" s="80" customFormat="1">
      <c r="A230" s="95" t="str">
        <f>J216</f>
        <v>Anno 6</v>
      </c>
      <c r="B230" s="80" t="str">
        <f>$B218</f>
        <v>Revisione generale</v>
      </c>
      <c r="C230" s="81">
        <f>$C$218</f>
        <v>0</v>
      </c>
      <c r="D230" s="52">
        <f>Ipotesi!H33</f>
        <v>0</v>
      </c>
      <c r="E230" s="85"/>
      <c r="F230" s="64"/>
      <c r="G230" s="64"/>
      <c r="H230" s="64"/>
      <c r="I230" s="64"/>
      <c r="J230" s="64">
        <f>IF($D230*$C230&gt;=$D231,$D231,$D230*$C230)</f>
        <v>0</v>
      </c>
      <c r="K230" s="64">
        <f t="shared" ref="K230:AI230" si="177">IF($D230*$C230&gt;=J231,J231,$D230*$C230)</f>
        <v>0</v>
      </c>
      <c r="L230" s="64">
        <f t="shared" si="177"/>
        <v>0</v>
      </c>
      <c r="M230" s="64">
        <f t="shared" si="177"/>
        <v>0</v>
      </c>
      <c r="N230" s="64">
        <f t="shared" si="177"/>
        <v>0</v>
      </c>
      <c r="O230" s="64">
        <f t="shared" si="177"/>
        <v>0</v>
      </c>
      <c r="P230" s="64">
        <f t="shared" si="177"/>
        <v>0</v>
      </c>
      <c r="Q230" s="64">
        <f t="shared" si="177"/>
        <v>0</v>
      </c>
      <c r="R230" s="64">
        <f t="shared" si="177"/>
        <v>0</v>
      </c>
      <c r="S230" s="64">
        <f t="shared" si="177"/>
        <v>0</v>
      </c>
      <c r="T230" s="64">
        <f t="shared" si="177"/>
        <v>0</v>
      </c>
      <c r="U230" s="64">
        <f t="shared" si="177"/>
        <v>0</v>
      </c>
      <c r="V230" s="64">
        <f t="shared" si="177"/>
        <v>0</v>
      </c>
      <c r="W230" s="64">
        <f t="shared" si="177"/>
        <v>0</v>
      </c>
      <c r="X230" s="64">
        <f t="shared" si="177"/>
        <v>0</v>
      </c>
      <c r="Y230" s="64">
        <f t="shared" si="177"/>
        <v>0</v>
      </c>
      <c r="Z230" s="64">
        <f t="shared" si="177"/>
        <v>0</v>
      </c>
      <c r="AA230" s="64">
        <f t="shared" si="177"/>
        <v>0</v>
      </c>
      <c r="AB230" s="64">
        <f t="shared" si="177"/>
        <v>0</v>
      </c>
      <c r="AC230" s="64">
        <f t="shared" si="177"/>
        <v>0</v>
      </c>
      <c r="AD230" s="64">
        <f t="shared" si="177"/>
        <v>0</v>
      </c>
      <c r="AE230" s="64">
        <f t="shared" si="177"/>
        <v>0</v>
      </c>
      <c r="AF230" s="64">
        <f t="shared" si="177"/>
        <v>0</v>
      </c>
      <c r="AG230" s="64">
        <f t="shared" si="177"/>
        <v>0</v>
      </c>
      <c r="AH230" s="64">
        <f t="shared" si="177"/>
        <v>0</v>
      </c>
      <c r="AI230" s="86">
        <f t="shared" si="177"/>
        <v>0</v>
      </c>
      <c r="FD230" s="59"/>
    </row>
    <row r="231" spans="1:160">
      <c r="A231" s="60" t="str">
        <f>J216</f>
        <v>Anno 6</v>
      </c>
      <c r="B231" s="59" t="s">
        <v>61</v>
      </c>
      <c r="C231" s="81"/>
      <c r="D231" s="52">
        <f>D230</f>
        <v>0</v>
      </c>
      <c r="E231" s="78"/>
      <c r="J231" s="63">
        <f>$D231-J230</f>
        <v>0</v>
      </c>
      <c r="K231" s="63">
        <f t="shared" ref="K231:AI231" si="178">IF(J231-K230&gt;0,J231-K230,0)</f>
        <v>0</v>
      </c>
      <c r="L231" s="63">
        <f t="shared" si="178"/>
        <v>0</v>
      </c>
      <c r="M231" s="63">
        <f t="shared" si="178"/>
        <v>0</v>
      </c>
      <c r="N231" s="63">
        <f t="shared" si="178"/>
        <v>0</v>
      </c>
      <c r="O231" s="63">
        <f t="shared" si="178"/>
        <v>0</v>
      </c>
      <c r="P231" s="63">
        <f t="shared" si="178"/>
        <v>0</v>
      </c>
      <c r="Q231" s="63">
        <f t="shared" si="178"/>
        <v>0</v>
      </c>
      <c r="R231" s="63">
        <f t="shared" si="178"/>
        <v>0</v>
      </c>
      <c r="S231" s="63">
        <f t="shared" si="178"/>
        <v>0</v>
      </c>
      <c r="T231" s="63">
        <f t="shared" si="178"/>
        <v>0</v>
      </c>
      <c r="U231" s="63">
        <f t="shared" si="178"/>
        <v>0</v>
      </c>
      <c r="V231" s="63">
        <f t="shared" si="178"/>
        <v>0</v>
      </c>
      <c r="W231" s="63">
        <f t="shared" si="178"/>
        <v>0</v>
      </c>
      <c r="X231" s="63">
        <f t="shared" si="178"/>
        <v>0</v>
      </c>
      <c r="Y231" s="63">
        <f t="shared" si="178"/>
        <v>0</v>
      </c>
      <c r="Z231" s="63">
        <f t="shared" si="178"/>
        <v>0</v>
      </c>
      <c r="AA231" s="63">
        <f t="shared" si="178"/>
        <v>0</v>
      </c>
      <c r="AB231" s="63">
        <f t="shared" si="178"/>
        <v>0</v>
      </c>
      <c r="AC231" s="63">
        <f t="shared" si="178"/>
        <v>0</v>
      </c>
      <c r="AD231" s="63">
        <f t="shared" si="178"/>
        <v>0</v>
      </c>
      <c r="AE231" s="63">
        <f t="shared" si="178"/>
        <v>0</v>
      </c>
      <c r="AF231" s="63">
        <f t="shared" si="178"/>
        <v>0</v>
      </c>
      <c r="AG231" s="63">
        <f t="shared" si="178"/>
        <v>0</v>
      </c>
      <c r="AH231" s="63">
        <f t="shared" si="178"/>
        <v>0</v>
      </c>
      <c r="AI231" s="79">
        <f t="shared" si="178"/>
        <v>0</v>
      </c>
    </row>
    <row r="232" spans="1:160" s="80" customFormat="1">
      <c r="A232" s="95" t="str">
        <f>K216</f>
        <v>Anno 7</v>
      </c>
      <c r="B232" s="80" t="str">
        <f>$B218</f>
        <v>Revisione generale</v>
      </c>
      <c r="C232" s="81">
        <f>$C$218</f>
        <v>0</v>
      </c>
      <c r="D232" s="52">
        <f>Ipotesi!I33</f>
        <v>0</v>
      </c>
      <c r="E232" s="85"/>
      <c r="F232" s="64"/>
      <c r="G232" s="64"/>
      <c r="H232" s="64"/>
      <c r="I232" s="64"/>
      <c r="J232" s="87"/>
      <c r="K232" s="64">
        <f>IF($D232*$C232&gt;=$D233,$D233,$D232*$C232)</f>
        <v>0</v>
      </c>
      <c r="L232" s="64">
        <f t="shared" ref="L232:AI232" si="179">IF($D232*$C232&gt;=K233,K233,$D232*$C232)</f>
        <v>0</v>
      </c>
      <c r="M232" s="64">
        <f t="shared" si="179"/>
        <v>0</v>
      </c>
      <c r="N232" s="64">
        <f t="shared" si="179"/>
        <v>0</v>
      </c>
      <c r="O232" s="64">
        <f t="shared" si="179"/>
        <v>0</v>
      </c>
      <c r="P232" s="64">
        <f t="shared" si="179"/>
        <v>0</v>
      </c>
      <c r="Q232" s="64">
        <f t="shared" si="179"/>
        <v>0</v>
      </c>
      <c r="R232" s="64">
        <f t="shared" si="179"/>
        <v>0</v>
      </c>
      <c r="S232" s="64">
        <f t="shared" si="179"/>
        <v>0</v>
      </c>
      <c r="T232" s="64">
        <f t="shared" si="179"/>
        <v>0</v>
      </c>
      <c r="U232" s="64">
        <f t="shared" si="179"/>
        <v>0</v>
      </c>
      <c r="V232" s="64">
        <f t="shared" si="179"/>
        <v>0</v>
      </c>
      <c r="W232" s="64">
        <f t="shared" si="179"/>
        <v>0</v>
      </c>
      <c r="X232" s="64">
        <f t="shared" si="179"/>
        <v>0</v>
      </c>
      <c r="Y232" s="64">
        <f t="shared" si="179"/>
        <v>0</v>
      </c>
      <c r="Z232" s="64">
        <f t="shared" si="179"/>
        <v>0</v>
      </c>
      <c r="AA232" s="64">
        <f t="shared" si="179"/>
        <v>0</v>
      </c>
      <c r="AB232" s="64">
        <f t="shared" si="179"/>
        <v>0</v>
      </c>
      <c r="AC232" s="64">
        <f t="shared" si="179"/>
        <v>0</v>
      </c>
      <c r="AD232" s="64">
        <f t="shared" si="179"/>
        <v>0</v>
      </c>
      <c r="AE232" s="64">
        <f t="shared" si="179"/>
        <v>0</v>
      </c>
      <c r="AF232" s="64">
        <f t="shared" si="179"/>
        <v>0</v>
      </c>
      <c r="AG232" s="64">
        <f t="shared" si="179"/>
        <v>0</v>
      </c>
      <c r="AH232" s="64">
        <f t="shared" si="179"/>
        <v>0</v>
      </c>
      <c r="AI232" s="86">
        <f t="shared" si="179"/>
        <v>0</v>
      </c>
      <c r="FD232" s="59"/>
    </row>
    <row r="233" spans="1:160">
      <c r="A233" s="60" t="str">
        <f>K216</f>
        <v>Anno 7</v>
      </c>
      <c r="B233" s="59" t="s">
        <v>61</v>
      </c>
      <c r="C233" s="81"/>
      <c r="D233" s="52">
        <f>D232</f>
        <v>0</v>
      </c>
      <c r="E233" s="78"/>
      <c r="K233" s="63">
        <f>$D233-K232</f>
        <v>0</v>
      </c>
      <c r="L233" s="63">
        <f t="shared" ref="L233:AI233" si="180">IF(K233-L232&gt;0,K233-L232,0)</f>
        <v>0</v>
      </c>
      <c r="M233" s="63">
        <f t="shared" si="180"/>
        <v>0</v>
      </c>
      <c r="N233" s="63">
        <f t="shared" si="180"/>
        <v>0</v>
      </c>
      <c r="O233" s="63">
        <f t="shared" si="180"/>
        <v>0</v>
      </c>
      <c r="P233" s="63">
        <f t="shared" si="180"/>
        <v>0</v>
      </c>
      <c r="Q233" s="63">
        <f t="shared" si="180"/>
        <v>0</v>
      </c>
      <c r="R233" s="63">
        <f t="shared" si="180"/>
        <v>0</v>
      </c>
      <c r="S233" s="63">
        <f t="shared" si="180"/>
        <v>0</v>
      </c>
      <c r="T233" s="63">
        <f t="shared" si="180"/>
        <v>0</v>
      </c>
      <c r="U233" s="63">
        <f t="shared" si="180"/>
        <v>0</v>
      </c>
      <c r="V233" s="63">
        <f t="shared" si="180"/>
        <v>0</v>
      </c>
      <c r="W233" s="63">
        <f t="shared" si="180"/>
        <v>0</v>
      </c>
      <c r="X233" s="63">
        <f t="shared" si="180"/>
        <v>0</v>
      </c>
      <c r="Y233" s="63">
        <f t="shared" si="180"/>
        <v>0</v>
      </c>
      <c r="Z233" s="63">
        <f t="shared" si="180"/>
        <v>0</v>
      </c>
      <c r="AA233" s="63">
        <f t="shared" si="180"/>
        <v>0</v>
      </c>
      <c r="AB233" s="63">
        <f t="shared" si="180"/>
        <v>0</v>
      </c>
      <c r="AC233" s="63">
        <f t="shared" si="180"/>
        <v>0</v>
      </c>
      <c r="AD233" s="63">
        <f t="shared" si="180"/>
        <v>0</v>
      </c>
      <c r="AE233" s="63">
        <f t="shared" si="180"/>
        <v>0</v>
      </c>
      <c r="AF233" s="63">
        <f t="shared" si="180"/>
        <v>0</v>
      </c>
      <c r="AG233" s="63">
        <f t="shared" si="180"/>
        <v>0</v>
      </c>
      <c r="AH233" s="63">
        <f t="shared" si="180"/>
        <v>0</v>
      </c>
      <c r="AI233" s="79">
        <f t="shared" si="180"/>
        <v>0</v>
      </c>
    </row>
    <row r="234" spans="1:160" s="80" customFormat="1">
      <c r="A234" s="95" t="str">
        <f>L216</f>
        <v>Anno 8</v>
      </c>
      <c r="B234" s="80" t="str">
        <f>$B218</f>
        <v>Revisione generale</v>
      </c>
      <c r="C234" s="81">
        <f>$C$218</f>
        <v>0</v>
      </c>
      <c r="D234" s="52">
        <f>Ipotesi!J33</f>
        <v>0</v>
      </c>
      <c r="E234" s="85"/>
      <c r="F234" s="64"/>
      <c r="G234" s="64"/>
      <c r="H234" s="64"/>
      <c r="I234" s="64"/>
      <c r="J234" s="87"/>
      <c r="K234" s="87"/>
      <c r="L234" s="64">
        <f>IF($D234*$C234&gt;=$D235,$D235,$D234*$C234)</f>
        <v>0</v>
      </c>
      <c r="M234" s="64">
        <f t="shared" ref="M234:AI234" si="181">IF($D234*$C234&gt;=L235,L235,$D234*$C234)</f>
        <v>0</v>
      </c>
      <c r="N234" s="64">
        <f t="shared" si="181"/>
        <v>0</v>
      </c>
      <c r="O234" s="64">
        <f t="shared" si="181"/>
        <v>0</v>
      </c>
      <c r="P234" s="64">
        <f t="shared" si="181"/>
        <v>0</v>
      </c>
      <c r="Q234" s="64">
        <f t="shared" si="181"/>
        <v>0</v>
      </c>
      <c r="R234" s="64">
        <f t="shared" si="181"/>
        <v>0</v>
      </c>
      <c r="S234" s="64">
        <f t="shared" si="181"/>
        <v>0</v>
      </c>
      <c r="T234" s="64">
        <f t="shared" si="181"/>
        <v>0</v>
      </c>
      <c r="U234" s="64">
        <f t="shared" si="181"/>
        <v>0</v>
      </c>
      <c r="V234" s="64">
        <f t="shared" si="181"/>
        <v>0</v>
      </c>
      <c r="W234" s="64">
        <f t="shared" si="181"/>
        <v>0</v>
      </c>
      <c r="X234" s="64">
        <f t="shared" si="181"/>
        <v>0</v>
      </c>
      <c r="Y234" s="64">
        <f t="shared" si="181"/>
        <v>0</v>
      </c>
      <c r="Z234" s="64">
        <f t="shared" si="181"/>
        <v>0</v>
      </c>
      <c r="AA234" s="64">
        <f t="shared" si="181"/>
        <v>0</v>
      </c>
      <c r="AB234" s="64">
        <f t="shared" si="181"/>
        <v>0</v>
      </c>
      <c r="AC234" s="64">
        <f t="shared" si="181"/>
        <v>0</v>
      </c>
      <c r="AD234" s="64">
        <f t="shared" si="181"/>
        <v>0</v>
      </c>
      <c r="AE234" s="64">
        <f t="shared" si="181"/>
        <v>0</v>
      </c>
      <c r="AF234" s="64">
        <f t="shared" si="181"/>
        <v>0</v>
      </c>
      <c r="AG234" s="64">
        <f t="shared" si="181"/>
        <v>0</v>
      </c>
      <c r="AH234" s="64">
        <f t="shared" si="181"/>
        <v>0</v>
      </c>
      <c r="AI234" s="86">
        <f t="shared" si="181"/>
        <v>0</v>
      </c>
      <c r="FD234" s="59"/>
    </row>
    <row r="235" spans="1:160">
      <c r="A235" s="60" t="str">
        <f>L216</f>
        <v>Anno 8</v>
      </c>
      <c r="B235" s="59" t="s">
        <v>61</v>
      </c>
      <c r="C235" s="81"/>
      <c r="D235" s="52">
        <f>D234</f>
        <v>0</v>
      </c>
      <c r="E235" s="78"/>
      <c r="L235" s="63">
        <f>$D235-L234</f>
        <v>0</v>
      </c>
      <c r="M235" s="63">
        <f t="shared" ref="M235:AI235" si="182">IF(L235-M234&gt;0,L235-M234,0)</f>
        <v>0</v>
      </c>
      <c r="N235" s="63">
        <f t="shared" si="182"/>
        <v>0</v>
      </c>
      <c r="O235" s="63">
        <f t="shared" si="182"/>
        <v>0</v>
      </c>
      <c r="P235" s="63">
        <f t="shared" si="182"/>
        <v>0</v>
      </c>
      <c r="Q235" s="63">
        <f t="shared" si="182"/>
        <v>0</v>
      </c>
      <c r="R235" s="63">
        <f t="shared" si="182"/>
        <v>0</v>
      </c>
      <c r="S235" s="63">
        <f t="shared" si="182"/>
        <v>0</v>
      </c>
      <c r="T235" s="63">
        <f t="shared" si="182"/>
        <v>0</v>
      </c>
      <c r="U235" s="63">
        <f t="shared" si="182"/>
        <v>0</v>
      </c>
      <c r="V235" s="63">
        <f t="shared" si="182"/>
        <v>0</v>
      </c>
      <c r="W235" s="63">
        <f t="shared" si="182"/>
        <v>0</v>
      </c>
      <c r="X235" s="63">
        <f t="shared" si="182"/>
        <v>0</v>
      </c>
      <c r="Y235" s="63">
        <f t="shared" si="182"/>
        <v>0</v>
      </c>
      <c r="Z235" s="63">
        <f t="shared" si="182"/>
        <v>0</v>
      </c>
      <c r="AA235" s="63">
        <f t="shared" si="182"/>
        <v>0</v>
      </c>
      <c r="AB235" s="63">
        <f t="shared" si="182"/>
        <v>0</v>
      </c>
      <c r="AC235" s="63">
        <f t="shared" si="182"/>
        <v>0</v>
      </c>
      <c r="AD235" s="63">
        <f t="shared" si="182"/>
        <v>0</v>
      </c>
      <c r="AE235" s="63">
        <f t="shared" si="182"/>
        <v>0</v>
      </c>
      <c r="AF235" s="63">
        <f t="shared" si="182"/>
        <v>0</v>
      </c>
      <c r="AG235" s="63">
        <f t="shared" si="182"/>
        <v>0</v>
      </c>
      <c r="AH235" s="63">
        <f t="shared" si="182"/>
        <v>0</v>
      </c>
      <c r="AI235" s="79">
        <f t="shared" si="182"/>
        <v>0</v>
      </c>
    </row>
    <row r="236" spans="1:160" s="80" customFormat="1">
      <c r="A236" s="95" t="str">
        <f>M216</f>
        <v>Anno 9</v>
      </c>
      <c r="B236" s="80" t="str">
        <f>$B218</f>
        <v>Revisione generale</v>
      </c>
      <c r="C236" s="81">
        <f>$C$218</f>
        <v>0</v>
      </c>
      <c r="D236" s="52">
        <f>Ipotesi!K33</f>
        <v>0</v>
      </c>
      <c r="E236" s="85"/>
      <c r="F236" s="64"/>
      <c r="G236" s="64"/>
      <c r="H236" s="64"/>
      <c r="I236" s="64"/>
      <c r="J236" s="87"/>
      <c r="K236" s="87"/>
      <c r="L236" s="87"/>
      <c r="M236" s="64">
        <f>IF($D236*$C236&gt;=$D237,$D237,$D236*$C236)</f>
        <v>0</v>
      </c>
      <c r="N236" s="64">
        <f t="shared" ref="N236:AI236" si="183">IF($D236*$C236&gt;=M237,M237,$D236*$C236)</f>
        <v>0</v>
      </c>
      <c r="O236" s="64">
        <f t="shared" si="183"/>
        <v>0</v>
      </c>
      <c r="P236" s="64">
        <f t="shared" si="183"/>
        <v>0</v>
      </c>
      <c r="Q236" s="64">
        <f t="shared" si="183"/>
        <v>0</v>
      </c>
      <c r="R236" s="64">
        <f t="shared" si="183"/>
        <v>0</v>
      </c>
      <c r="S236" s="64">
        <f t="shared" si="183"/>
        <v>0</v>
      </c>
      <c r="T236" s="64">
        <f t="shared" si="183"/>
        <v>0</v>
      </c>
      <c r="U236" s="64">
        <f t="shared" si="183"/>
        <v>0</v>
      </c>
      <c r="V236" s="64">
        <f t="shared" si="183"/>
        <v>0</v>
      </c>
      <c r="W236" s="64">
        <f t="shared" si="183"/>
        <v>0</v>
      </c>
      <c r="X236" s="64">
        <f t="shared" si="183"/>
        <v>0</v>
      </c>
      <c r="Y236" s="64">
        <f t="shared" si="183"/>
        <v>0</v>
      </c>
      <c r="Z236" s="64">
        <f t="shared" si="183"/>
        <v>0</v>
      </c>
      <c r="AA236" s="64">
        <f t="shared" si="183"/>
        <v>0</v>
      </c>
      <c r="AB236" s="64">
        <f t="shared" si="183"/>
        <v>0</v>
      </c>
      <c r="AC236" s="64">
        <f t="shared" si="183"/>
        <v>0</v>
      </c>
      <c r="AD236" s="64">
        <f t="shared" si="183"/>
        <v>0</v>
      </c>
      <c r="AE236" s="64">
        <f t="shared" si="183"/>
        <v>0</v>
      </c>
      <c r="AF236" s="64">
        <f t="shared" si="183"/>
        <v>0</v>
      </c>
      <c r="AG236" s="64">
        <f t="shared" si="183"/>
        <v>0</v>
      </c>
      <c r="AH236" s="64">
        <f t="shared" si="183"/>
        <v>0</v>
      </c>
      <c r="AI236" s="86">
        <f t="shared" si="183"/>
        <v>0</v>
      </c>
      <c r="FD236" s="59"/>
    </row>
    <row r="237" spans="1:160">
      <c r="A237" s="60" t="str">
        <f>M216</f>
        <v>Anno 9</v>
      </c>
      <c r="B237" s="59" t="s">
        <v>61</v>
      </c>
      <c r="C237" s="81"/>
      <c r="D237" s="52">
        <f>D236</f>
        <v>0</v>
      </c>
      <c r="E237" s="78"/>
      <c r="M237" s="63">
        <f>$D237-M236</f>
        <v>0</v>
      </c>
      <c r="N237" s="63">
        <f t="shared" ref="N237:AI237" si="184">IF(M237-N236&gt;0,M237-N236,0)</f>
        <v>0</v>
      </c>
      <c r="O237" s="63">
        <f t="shared" si="184"/>
        <v>0</v>
      </c>
      <c r="P237" s="63">
        <f t="shared" si="184"/>
        <v>0</v>
      </c>
      <c r="Q237" s="63">
        <f t="shared" si="184"/>
        <v>0</v>
      </c>
      <c r="R237" s="63">
        <f t="shared" si="184"/>
        <v>0</v>
      </c>
      <c r="S237" s="63">
        <f t="shared" si="184"/>
        <v>0</v>
      </c>
      <c r="T237" s="63">
        <f t="shared" si="184"/>
        <v>0</v>
      </c>
      <c r="U237" s="63">
        <f t="shared" si="184"/>
        <v>0</v>
      </c>
      <c r="V237" s="63">
        <f t="shared" si="184"/>
        <v>0</v>
      </c>
      <c r="W237" s="63">
        <f t="shared" si="184"/>
        <v>0</v>
      </c>
      <c r="X237" s="63">
        <f t="shared" si="184"/>
        <v>0</v>
      </c>
      <c r="Y237" s="63">
        <f t="shared" si="184"/>
        <v>0</v>
      </c>
      <c r="Z237" s="63">
        <f t="shared" si="184"/>
        <v>0</v>
      </c>
      <c r="AA237" s="63">
        <f t="shared" si="184"/>
        <v>0</v>
      </c>
      <c r="AB237" s="63">
        <f t="shared" si="184"/>
        <v>0</v>
      </c>
      <c r="AC237" s="63">
        <f t="shared" si="184"/>
        <v>0</v>
      </c>
      <c r="AD237" s="63">
        <f t="shared" si="184"/>
        <v>0</v>
      </c>
      <c r="AE237" s="63">
        <f t="shared" si="184"/>
        <v>0</v>
      </c>
      <c r="AF237" s="63">
        <f t="shared" si="184"/>
        <v>0</v>
      </c>
      <c r="AG237" s="63">
        <f t="shared" si="184"/>
        <v>0</v>
      </c>
      <c r="AH237" s="63">
        <f t="shared" si="184"/>
        <v>0</v>
      </c>
      <c r="AI237" s="79">
        <f t="shared" si="184"/>
        <v>0</v>
      </c>
    </row>
    <row r="238" spans="1:160" s="80" customFormat="1">
      <c r="A238" s="95" t="str">
        <f>N216</f>
        <v>Anno 10</v>
      </c>
      <c r="B238" s="80" t="str">
        <f>$B218</f>
        <v>Revisione generale</v>
      </c>
      <c r="C238" s="81">
        <f>$C$218</f>
        <v>0</v>
      </c>
      <c r="D238" s="52">
        <f>Ipotesi!L33</f>
        <v>0</v>
      </c>
      <c r="E238" s="85"/>
      <c r="F238" s="64"/>
      <c r="G238" s="64"/>
      <c r="H238" s="64"/>
      <c r="I238" s="64"/>
      <c r="J238" s="87"/>
      <c r="K238" s="87"/>
      <c r="L238" s="87"/>
      <c r="M238" s="87"/>
      <c r="N238" s="64">
        <f>IF($D238*$C238&gt;=$D239,$D239,$D238*$C238)</f>
        <v>0</v>
      </c>
      <c r="O238" s="64">
        <f t="shared" ref="O238:AI238" si="185">IF($D238*$C238&gt;=N239,N239,$D238*$C238)</f>
        <v>0</v>
      </c>
      <c r="P238" s="64">
        <f t="shared" si="185"/>
        <v>0</v>
      </c>
      <c r="Q238" s="64">
        <f t="shared" si="185"/>
        <v>0</v>
      </c>
      <c r="R238" s="64">
        <f t="shared" si="185"/>
        <v>0</v>
      </c>
      <c r="S238" s="64">
        <f t="shared" si="185"/>
        <v>0</v>
      </c>
      <c r="T238" s="64">
        <f t="shared" si="185"/>
        <v>0</v>
      </c>
      <c r="U238" s="64">
        <f t="shared" si="185"/>
        <v>0</v>
      </c>
      <c r="V238" s="64">
        <f t="shared" si="185"/>
        <v>0</v>
      </c>
      <c r="W238" s="64">
        <f t="shared" si="185"/>
        <v>0</v>
      </c>
      <c r="X238" s="64">
        <f t="shared" si="185"/>
        <v>0</v>
      </c>
      <c r="Y238" s="64">
        <f t="shared" si="185"/>
        <v>0</v>
      </c>
      <c r="Z238" s="64">
        <f t="shared" si="185"/>
        <v>0</v>
      </c>
      <c r="AA238" s="64">
        <f t="shared" si="185"/>
        <v>0</v>
      </c>
      <c r="AB238" s="64">
        <f t="shared" si="185"/>
        <v>0</v>
      </c>
      <c r="AC238" s="64">
        <f t="shared" si="185"/>
        <v>0</v>
      </c>
      <c r="AD238" s="64">
        <f t="shared" si="185"/>
        <v>0</v>
      </c>
      <c r="AE238" s="64">
        <f t="shared" si="185"/>
        <v>0</v>
      </c>
      <c r="AF238" s="64">
        <f t="shared" si="185"/>
        <v>0</v>
      </c>
      <c r="AG238" s="64">
        <f t="shared" si="185"/>
        <v>0</v>
      </c>
      <c r="AH238" s="64">
        <f t="shared" si="185"/>
        <v>0</v>
      </c>
      <c r="AI238" s="86">
        <f t="shared" si="185"/>
        <v>0</v>
      </c>
      <c r="FD238" s="59"/>
    </row>
    <row r="239" spans="1:160">
      <c r="A239" s="60" t="str">
        <f>N216</f>
        <v>Anno 10</v>
      </c>
      <c r="B239" s="59" t="s">
        <v>61</v>
      </c>
      <c r="C239" s="81"/>
      <c r="D239" s="52">
        <f>D238</f>
        <v>0</v>
      </c>
      <c r="E239" s="78"/>
      <c r="N239" s="63">
        <f>$D239-N238</f>
        <v>0</v>
      </c>
      <c r="O239" s="63">
        <f t="shared" ref="O239:AI239" si="186">IF(N239-O238&gt;0,N239-O238,0)</f>
        <v>0</v>
      </c>
      <c r="P239" s="63">
        <f t="shared" si="186"/>
        <v>0</v>
      </c>
      <c r="Q239" s="63">
        <f t="shared" si="186"/>
        <v>0</v>
      </c>
      <c r="R239" s="63">
        <f t="shared" si="186"/>
        <v>0</v>
      </c>
      <c r="S239" s="63">
        <f t="shared" si="186"/>
        <v>0</v>
      </c>
      <c r="T239" s="63">
        <f t="shared" si="186"/>
        <v>0</v>
      </c>
      <c r="U239" s="63">
        <f t="shared" si="186"/>
        <v>0</v>
      </c>
      <c r="V239" s="63">
        <f t="shared" si="186"/>
        <v>0</v>
      </c>
      <c r="W239" s="63">
        <f t="shared" si="186"/>
        <v>0</v>
      </c>
      <c r="X239" s="63">
        <f t="shared" si="186"/>
        <v>0</v>
      </c>
      <c r="Y239" s="63">
        <f t="shared" si="186"/>
        <v>0</v>
      </c>
      <c r="Z239" s="63">
        <f t="shared" si="186"/>
        <v>0</v>
      </c>
      <c r="AA239" s="63">
        <f t="shared" si="186"/>
        <v>0</v>
      </c>
      <c r="AB239" s="63">
        <f t="shared" si="186"/>
        <v>0</v>
      </c>
      <c r="AC239" s="63">
        <f t="shared" si="186"/>
        <v>0</v>
      </c>
      <c r="AD239" s="63">
        <f t="shared" si="186"/>
        <v>0</v>
      </c>
      <c r="AE239" s="63">
        <f t="shared" si="186"/>
        <v>0</v>
      </c>
      <c r="AF239" s="63">
        <f t="shared" si="186"/>
        <v>0</v>
      </c>
      <c r="AG239" s="63">
        <f t="shared" si="186"/>
        <v>0</v>
      </c>
      <c r="AH239" s="63">
        <f t="shared" si="186"/>
        <v>0</v>
      </c>
      <c r="AI239" s="79">
        <f t="shared" si="186"/>
        <v>0</v>
      </c>
    </row>
    <row r="240" spans="1:160" s="80" customFormat="1">
      <c r="A240" s="95" t="str">
        <f>O216</f>
        <v>Anno 11</v>
      </c>
      <c r="B240" s="80" t="str">
        <f>$B218</f>
        <v>Revisione generale</v>
      </c>
      <c r="C240" s="81">
        <f>$C$218</f>
        <v>0</v>
      </c>
      <c r="D240" s="52">
        <f>Ipotesi!M33</f>
        <v>0</v>
      </c>
      <c r="E240" s="85"/>
      <c r="F240" s="64"/>
      <c r="G240" s="64"/>
      <c r="H240" s="64"/>
      <c r="I240" s="64"/>
      <c r="J240" s="87"/>
      <c r="K240" s="87"/>
      <c r="L240" s="87"/>
      <c r="M240" s="87"/>
      <c r="N240" s="87"/>
      <c r="O240" s="64">
        <f>IF($D240*$C240&gt;=$D241,$D241,$D240*$C240)</f>
        <v>0</v>
      </c>
      <c r="P240" s="64">
        <f t="shared" ref="P240:AI240" si="187">IF($D240*$C240&gt;=O241,O241,$D240*$C240)</f>
        <v>0</v>
      </c>
      <c r="Q240" s="64">
        <f t="shared" si="187"/>
        <v>0</v>
      </c>
      <c r="R240" s="64">
        <f t="shared" si="187"/>
        <v>0</v>
      </c>
      <c r="S240" s="64">
        <f t="shared" si="187"/>
        <v>0</v>
      </c>
      <c r="T240" s="64">
        <f t="shared" si="187"/>
        <v>0</v>
      </c>
      <c r="U240" s="64">
        <f t="shared" si="187"/>
        <v>0</v>
      </c>
      <c r="V240" s="64">
        <f t="shared" si="187"/>
        <v>0</v>
      </c>
      <c r="W240" s="64">
        <f t="shared" si="187"/>
        <v>0</v>
      </c>
      <c r="X240" s="64">
        <f t="shared" si="187"/>
        <v>0</v>
      </c>
      <c r="Y240" s="64">
        <f t="shared" si="187"/>
        <v>0</v>
      </c>
      <c r="Z240" s="64">
        <f t="shared" si="187"/>
        <v>0</v>
      </c>
      <c r="AA240" s="64">
        <f t="shared" si="187"/>
        <v>0</v>
      </c>
      <c r="AB240" s="64">
        <f t="shared" si="187"/>
        <v>0</v>
      </c>
      <c r="AC240" s="64">
        <f t="shared" si="187"/>
        <v>0</v>
      </c>
      <c r="AD240" s="64">
        <f t="shared" si="187"/>
        <v>0</v>
      </c>
      <c r="AE240" s="64">
        <f t="shared" si="187"/>
        <v>0</v>
      </c>
      <c r="AF240" s="64">
        <f t="shared" si="187"/>
        <v>0</v>
      </c>
      <c r="AG240" s="64">
        <f t="shared" si="187"/>
        <v>0</v>
      </c>
      <c r="AH240" s="64">
        <f t="shared" si="187"/>
        <v>0</v>
      </c>
      <c r="AI240" s="86">
        <f t="shared" si="187"/>
        <v>0</v>
      </c>
      <c r="FD240" s="59"/>
    </row>
    <row r="241" spans="1:160">
      <c r="A241" s="60" t="str">
        <f>O216</f>
        <v>Anno 11</v>
      </c>
      <c r="B241" s="59" t="s">
        <v>61</v>
      </c>
      <c r="C241" s="81"/>
      <c r="D241" s="52">
        <f>D240</f>
        <v>0</v>
      </c>
      <c r="E241" s="78"/>
      <c r="O241" s="63">
        <f>$D241-O240</f>
        <v>0</v>
      </c>
      <c r="P241" s="63">
        <f t="shared" ref="P241:AI241" si="188">IF(O241-P240&gt;0,O241-P240,0)</f>
        <v>0</v>
      </c>
      <c r="Q241" s="63">
        <f t="shared" si="188"/>
        <v>0</v>
      </c>
      <c r="R241" s="63">
        <f t="shared" si="188"/>
        <v>0</v>
      </c>
      <c r="S241" s="63">
        <f t="shared" si="188"/>
        <v>0</v>
      </c>
      <c r="T241" s="63">
        <f t="shared" si="188"/>
        <v>0</v>
      </c>
      <c r="U241" s="63">
        <f t="shared" si="188"/>
        <v>0</v>
      </c>
      <c r="V241" s="63">
        <f t="shared" si="188"/>
        <v>0</v>
      </c>
      <c r="W241" s="63">
        <f t="shared" si="188"/>
        <v>0</v>
      </c>
      <c r="X241" s="63">
        <f t="shared" si="188"/>
        <v>0</v>
      </c>
      <c r="Y241" s="63">
        <f t="shared" si="188"/>
        <v>0</v>
      </c>
      <c r="Z241" s="63">
        <f t="shared" si="188"/>
        <v>0</v>
      </c>
      <c r="AA241" s="63">
        <f t="shared" si="188"/>
        <v>0</v>
      </c>
      <c r="AB241" s="63">
        <f t="shared" si="188"/>
        <v>0</v>
      </c>
      <c r="AC241" s="63">
        <f t="shared" si="188"/>
        <v>0</v>
      </c>
      <c r="AD241" s="63">
        <f t="shared" si="188"/>
        <v>0</v>
      </c>
      <c r="AE241" s="63">
        <f t="shared" si="188"/>
        <v>0</v>
      </c>
      <c r="AF241" s="63">
        <f t="shared" si="188"/>
        <v>0</v>
      </c>
      <c r="AG241" s="63">
        <f t="shared" si="188"/>
        <v>0</v>
      </c>
      <c r="AH241" s="63">
        <f t="shared" si="188"/>
        <v>0</v>
      </c>
      <c r="AI241" s="79">
        <f t="shared" si="188"/>
        <v>0</v>
      </c>
    </row>
    <row r="242" spans="1:160" s="80" customFormat="1">
      <c r="A242" s="95" t="str">
        <f>P216</f>
        <v>Anno 12</v>
      </c>
      <c r="B242" s="80" t="str">
        <f>$B218</f>
        <v>Revisione generale</v>
      </c>
      <c r="C242" s="81">
        <f>$C$218</f>
        <v>0</v>
      </c>
      <c r="D242" s="52">
        <f>Ipotesi!N33</f>
        <v>0</v>
      </c>
      <c r="E242" s="85"/>
      <c r="F242" s="64"/>
      <c r="G242" s="64"/>
      <c r="H242" s="64"/>
      <c r="I242" s="64"/>
      <c r="J242" s="87"/>
      <c r="K242" s="87"/>
      <c r="L242" s="87"/>
      <c r="M242" s="87"/>
      <c r="N242" s="87"/>
      <c r="O242" s="87"/>
      <c r="P242" s="64">
        <f>IF($D242*$C242&gt;=$D243,$D243,$D242*$C242)</f>
        <v>0</v>
      </c>
      <c r="Q242" s="64">
        <f t="shared" ref="Q242:AI242" si="189">IF($D242*$C242&gt;=P243,P243,$D242*$C242)</f>
        <v>0</v>
      </c>
      <c r="R242" s="64">
        <f t="shared" si="189"/>
        <v>0</v>
      </c>
      <c r="S242" s="64">
        <f t="shared" si="189"/>
        <v>0</v>
      </c>
      <c r="T242" s="64">
        <f t="shared" si="189"/>
        <v>0</v>
      </c>
      <c r="U242" s="64">
        <f t="shared" si="189"/>
        <v>0</v>
      </c>
      <c r="V242" s="64">
        <f t="shared" si="189"/>
        <v>0</v>
      </c>
      <c r="W242" s="64">
        <f t="shared" si="189"/>
        <v>0</v>
      </c>
      <c r="X242" s="64">
        <f t="shared" si="189"/>
        <v>0</v>
      </c>
      <c r="Y242" s="64">
        <f t="shared" si="189"/>
        <v>0</v>
      </c>
      <c r="Z242" s="64">
        <f t="shared" si="189"/>
        <v>0</v>
      </c>
      <c r="AA242" s="64">
        <f t="shared" si="189"/>
        <v>0</v>
      </c>
      <c r="AB242" s="64">
        <f t="shared" si="189"/>
        <v>0</v>
      </c>
      <c r="AC242" s="64">
        <f t="shared" si="189"/>
        <v>0</v>
      </c>
      <c r="AD242" s="64">
        <f t="shared" si="189"/>
        <v>0</v>
      </c>
      <c r="AE242" s="64">
        <f t="shared" si="189"/>
        <v>0</v>
      </c>
      <c r="AF242" s="64">
        <f t="shared" si="189"/>
        <v>0</v>
      </c>
      <c r="AG242" s="64">
        <f t="shared" si="189"/>
        <v>0</v>
      </c>
      <c r="AH242" s="64">
        <f t="shared" si="189"/>
        <v>0</v>
      </c>
      <c r="AI242" s="86">
        <f t="shared" si="189"/>
        <v>0</v>
      </c>
      <c r="FD242" s="59"/>
    </row>
    <row r="243" spans="1:160">
      <c r="A243" s="60" t="str">
        <f>P216</f>
        <v>Anno 12</v>
      </c>
      <c r="B243" s="59" t="s">
        <v>61</v>
      </c>
      <c r="C243" s="88"/>
      <c r="D243" s="52">
        <f>D242</f>
        <v>0</v>
      </c>
      <c r="E243" s="78"/>
      <c r="P243" s="63">
        <f>$D243-P242</f>
        <v>0</v>
      </c>
      <c r="Q243" s="63">
        <f t="shared" ref="Q243:AI243" si="190">IF(P243-Q242&gt;0,P243-Q242,0)</f>
        <v>0</v>
      </c>
      <c r="R243" s="63">
        <f t="shared" si="190"/>
        <v>0</v>
      </c>
      <c r="S243" s="63">
        <f t="shared" si="190"/>
        <v>0</v>
      </c>
      <c r="T243" s="63">
        <f t="shared" si="190"/>
        <v>0</v>
      </c>
      <c r="U243" s="63">
        <f t="shared" si="190"/>
        <v>0</v>
      </c>
      <c r="V243" s="63">
        <f t="shared" si="190"/>
        <v>0</v>
      </c>
      <c r="W243" s="63">
        <f t="shared" si="190"/>
        <v>0</v>
      </c>
      <c r="X243" s="63">
        <f t="shared" si="190"/>
        <v>0</v>
      </c>
      <c r="Y243" s="63">
        <f t="shared" si="190"/>
        <v>0</v>
      </c>
      <c r="Z243" s="63">
        <f t="shared" si="190"/>
        <v>0</v>
      </c>
      <c r="AA243" s="63">
        <f t="shared" si="190"/>
        <v>0</v>
      </c>
      <c r="AB243" s="63">
        <f t="shared" si="190"/>
        <v>0</v>
      </c>
      <c r="AC243" s="63">
        <f t="shared" si="190"/>
        <v>0</v>
      </c>
      <c r="AD243" s="63">
        <f t="shared" si="190"/>
        <v>0</v>
      </c>
      <c r="AE243" s="63">
        <f t="shared" si="190"/>
        <v>0</v>
      </c>
      <c r="AF243" s="63">
        <f t="shared" si="190"/>
        <v>0</v>
      </c>
      <c r="AG243" s="63">
        <f t="shared" si="190"/>
        <v>0</v>
      </c>
      <c r="AH243" s="63">
        <f t="shared" si="190"/>
        <v>0</v>
      </c>
      <c r="AI243" s="79">
        <f t="shared" si="190"/>
        <v>0</v>
      </c>
    </row>
    <row r="244" spans="1:160">
      <c r="A244" s="95" t="str">
        <f>Q216</f>
        <v>Anno 13</v>
      </c>
      <c r="B244" s="80" t="str">
        <f>$B242</f>
        <v>Revisione generale</v>
      </c>
      <c r="C244" s="81">
        <f>$C$218</f>
        <v>0</v>
      </c>
      <c r="D244" s="52">
        <f>D243</f>
        <v>0</v>
      </c>
      <c r="E244" s="78"/>
      <c r="Q244" s="64">
        <f>IF($D244*$C244&gt;=$D245,$D245,$D244*$C244)</f>
        <v>0</v>
      </c>
      <c r="R244" s="64">
        <f t="shared" ref="R244:AI244" si="191">IF($D244*$C244&gt;=Q245,Q245,$D244*$C244)</f>
        <v>0</v>
      </c>
      <c r="S244" s="64">
        <f t="shared" si="191"/>
        <v>0</v>
      </c>
      <c r="T244" s="64">
        <f t="shared" si="191"/>
        <v>0</v>
      </c>
      <c r="U244" s="64">
        <f t="shared" si="191"/>
        <v>0</v>
      </c>
      <c r="V244" s="64">
        <f t="shared" si="191"/>
        <v>0</v>
      </c>
      <c r="W244" s="64">
        <f t="shared" si="191"/>
        <v>0</v>
      </c>
      <c r="X244" s="64">
        <f t="shared" si="191"/>
        <v>0</v>
      </c>
      <c r="Y244" s="64">
        <f t="shared" si="191"/>
        <v>0</v>
      </c>
      <c r="Z244" s="64">
        <f t="shared" si="191"/>
        <v>0</v>
      </c>
      <c r="AA244" s="64">
        <f t="shared" si="191"/>
        <v>0</v>
      </c>
      <c r="AB244" s="64">
        <f t="shared" si="191"/>
        <v>0</v>
      </c>
      <c r="AC244" s="64">
        <f t="shared" si="191"/>
        <v>0</v>
      </c>
      <c r="AD244" s="64">
        <f t="shared" si="191"/>
        <v>0</v>
      </c>
      <c r="AE244" s="64">
        <f t="shared" si="191"/>
        <v>0</v>
      </c>
      <c r="AF244" s="64">
        <f t="shared" si="191"/>
        <v>0</v>
      </c>
      <c r="AG244" s="64">
        <f t="shared" si="191"/>
        <v>0</v>
      </c>
      <c r="AH244" s="64">
        <f t="shared" si="191"/>
        <v>0</v>
      </c>
      <c r="AI244" s="86">
        <f t="shared" si="191"/>
        <v>0</v>
      </c>
    </row>
    <row r="245" spans="1:160">
      <c r="A245" s="60" t="str">
        <f>Q216</f>
        <v>Anno 13</v>
      </c>
      <c r="B245" s="59" t="s">
        <v>61</v>
      </c>
      <c r="C245" s="81"/>
      <c r="D245" s="52">
        <f>D244</f>
        <v>0</v>
      </c>
      <c r="E245" s="78"/>
      <c r="Q245" s="63">
        <f>$D245-Q244</f>
        <v>0</v>
      </c>
      <c r="R245" s="63">
        <f t="shared" ref="R245:AI245" si="192">IF(Q245-R244&gt;0,Q245-R244,0)</f>
        <v>0</v>
      </c>
      <c r="S245" s="63">
        <f t="shared" si="192"/>
        <v>0</v>
      </c>
      <c r="T245" s="63">
        <f t="shared" si="192"/>
        <v>0</v>
      </c>
      <c r="U245" s="63">
        <f t="shared" si="192"/>
        <v>0</v>
      </c>
      <c r="V245" s="63">
        <f t="shared" si="192"/>
        <v>0</v>
      </c>
      <c r="W245" s="63">
        <f t="shared" si="192"/>
        <v>0</v>
      </c>
      <c r="X245" s="63">
        <f t="shared" si="192"/>
        <v>0</v>
      </c>
      <c r="Y245" s="63">
        <f t="shared" si="192"/>
        <v>0</v>
      </c>
      <c r="Z245" s="63">
        <f t="shared" si="192"/>
        <v>0</v>
      </c>
      <c r="AA245" s="63">
        <f t="shared" si="192"/>
        <v>0</v>
      </c>
      <c r="AB245" s="63">
        <f t="shared" si="192"/>
        <v>0</v>
      </c>
      <c r="AC245" s="63">
        <f t="shared" si="192"/>
        <v>0</v>
      </c>
      <c r="AD245" s="63">
        <f t="shared" si="192"/>
        <v>0</v>
      </c>
      <c r="AE245" s="63">
        <f t="shared" si="192"/>
        <v>0</v>
      </c>
      <c r="AF245" s="63">
        <f t="shared" si="192"/>
        <v>0</v>
      </c>
      <c r="AG245" s="63">
        <f t="shared" si="192"/>
        <v>0</v>
      </c>
      <c r="AH245" s="63">
        <f t="shared" si="192"/>
        <v>0</v>
      </c>
      <c r="AI245" s="79">
        <f t="shared" si="192"/>
        <v>0</v>
      </c>
    </row>
    <row r="246" spans="1:160">
      <c r="A246" s="95" t="str">
        <f>R216</f>
        <v>Anno 14</v>
      </c>
      <c r="B246" s="80" t="str">
        <f>$B242</f>
        <v>Revisione generale</v>
      </c>
      <c r="C246" s="81">
        <f>$C$218</f>
        <v>0</v>
      </c>
      <c r="D246" s="52">
        <f>D245</f>
        <v>0</v>
      </c>
      <c r="E246" s="78"/>
      <c r="Q246" s="64"/>
      <c r="R246" s="64">
        <f>IF($D246*$C246&gt;=$D247,$D247,$D246*$C246)</f>
        <v>0</v>
      </c>
      <c r="S246" s="64">
        <f t="shared" ref="S246:AI246" si="193">IF($D246*$C246&gt;=R247,R247,$D246*$C246)</f>
        <v>0</v>
      </c>
      <c r="T246" s="64">
        <f t="shared" si="193"/>
        <v>0</v>
      </c>
      <c r="U246" s="64">
        <f t="shared" si="193"/>
        <v>0</v>
      </c>
      <c r="V246" s="64">
        <f t="shared" si="193"/>
        <v>0</v>
      </c>
      <c r="W246" s="64">
        <f t="shared" si="193"/>
        <v>0</v>
      </c>
      <c r="X246" s="64">
        <f t="shared" si="193"/>
        <v>0</v>
      </c>
      <c r="Y246" s="64">
        <f t="shared" si="193"/>
        <v>0</v>
      </c>
      <c r="Z246" s="64">
        <f t="shared" si="193"/>
        <v>0</v>
      </c>
      <c r="AA246" s="64">
        <f t="shared" si="193"/>
        <v>0</v>
      </c>
      <c r="AB246" s="64">
        <f t="shared" si="193"/>
        <v>0</v>
      </c>
      <c r="AC246" s="64">
        <f t="shared" si="193"/>
        <v>0</v>
      </c>
      <c r="AD246" s="64">
        <f t="shared" si="193"/>
        <v>0</v>
      </c>
      <c r="AE246" s="64">
        <f t="shared" si="193"/>
        <v>0</v>
      </c>
      <c r="AF246" s="64">
        <f t="shared" si="193"/>
        <v>0</v>
      </c>
      <c r="AG246" s="64">
        <f t="shared" si="193"/>
        <v>0</v>
      </c>
      <c r="AH246" s="64">
        <f t="shared" si="193"/>
        <v>0</v>
      </c>
      <c r="AI246" s="86">
        <f t="shared" si="193"/>
        <v>0</v>
      </c>
    </row>
    <row r="247" spans="1:160">
      <c r="A247" s="60" t="str">
        <f>R216</f>
        <v>Anno 14</v>
      </c>
      <c r="B247" s="59" t="s">
        <v>61</v>
      </c>
      <c r="C247" s="81"/>
      <c r="D247" s="52">
        <f>D246</f>
        <v>0</v>
      </c>
      <c r="E247" s="78"/>
      <c r="Q247" s="63"/>
      <c r="R247" s="63">
        <f>$D247-R246</f>
        <v>0</v>
      </c>
      <c r="S247" s="63">
        <f t="shared" ref="S247:AI247" si="194">IF(R247-S246&gt;0,R247-S246,0)</f>
        <v>0</v>
      </c>
      <c r="T247" s="63">
        <f t="shared" si="194"/>
        <v>0</v>
      </c>
      <c r="U247" s="63">
        <f t="shared" si="194"/>
        <v>0</v>
      </c>
      <c r="V247" s="63">
        <f t="shared" si="194"/>
        <v>0</v>
      </c>
      <c r="W247" s="63">
        <f t="shared" si="194"/>
        <v>0</v>
      </c>
      <c r="X247" s="63">
        <f t="shared" si="194"/>
        <v>0</v>
      </c>
      <c r="Y247" s="63">
        <f t="shared" si="194"/>
        <v>0</v>
      </c>
      <c r="Z247" s="63">
        <f t="shared" si="194"/>
        <v>0</v>
      </c>
      <c r="AA247" s="63">
        <f t="shared" si="194"/>
        <v>0</v>
      </c>
      <c r="AB247" s="63">
        <f t="shared" si="194"/>
        <v>0</v>
      </c>
      <c r="AC247" s="63">
        <f t="shared" si="194"/>
        <v>0</v>
      </c>
      <c r="AD247" s="63">
        <f t="shared" si="194"/>
        <v>0</v>
      </c>
      <c r="AE247" s="63">
        <f t="shared" si="194"/>
        <v>0</v>
      </c>
      <c r="AF247" s="63">
        <f t="shared" si="194"/>
        <v>0</v>
      </c>
      <c r="AG247" s="63">
        <f t="shared" si="194"/>
        <v>0</v>
      </c>
      <c r="AH247" s="63">
        <f t="shared" si="194"/>
        <v>0</v>
      </c>
      <c r="AI247" s="79">
        <f t="shared" si="194"/>
        <v>0</v>
      </c>
    </row>
    <row r="248" spans="1:160">
      <c r="A248" s="95" t="str">
        <f>S216</f>
        <v>Anno 15</v>
      </c>
      <c r="B248" s="80" t="str">
        <f>$B242</f>
        <v>Revisione generale</v>
      </c>
      <c r="C248" s="81">
        <f>$C$218</f>
        <v>0</v>
      </c>
      <c r="D248" s="52">
        <f>Ipotesi!Q33</f>
        <v>0</v>
      </c>
      <c r="E248" s="78"/>
      <c r="Q248" s="64"/>
      <c r="R248" s="64"/>
      <c r="S248" s="64">
        <f>IF($D248*$C248&gt;=$D249,$D249,$D248*$C248)</f>
        <v>0</v>
      </c>
      <c r="T248" s="64">
        <f t="shared" ref="T248:AI248" si="195">IF($D248*$C248&gt;=S249,S249,$D248*$C248)</f>
        <v>0</v>
      </c>
      <c r="U248" s="64">
        <f t="shared" si="195"/>
        <v>0</v>
      </c>
      <c r="V248" s="64">
        <f t="shared" si="195"/>
        <v>0</v>
      </c>
      <c r="W248" s="64">
        <f t="shared" si="195"/>
        <v>0</v>
      </c>
      <c r="X248" s="64">
        <f t="shared" si="195"/>
        <v>0</v>
      </c>
      <c r="Y248" s="64">
        <f t="shared" si="195"/>
        <v>0</v>
      </c>
      <c r="Z248" s="64">
        <f t="shared" si="195"/>
        <v>0</v>
      </c>
      <c r="AA248" s="64">
        <f t="shared" si="195"/>
        <v>0</v>
      </c>
      <c r="AB248" s="64">
        <f t="shared" si="195"/>
        <v>0</v>
      </c>
      <c r="AC248" s="64">
        <f t="shared" si="195"/>
        <v>0</v>
      </c>
      <c r="AD248" s="64">
        <f t="shared" si="195"/>
        <v>0</v>
      </c>
      <c r="AE248" s="64">
        <f t="shared" si="195"/>
        <v>0</v>
      </c>
      <c r="AF248" s="64">
        <f t="shared" si="195"/>
        <v>0</v>
      </c>
      <c r="AG248" s="64">
        <f t="shared" si="195"/>
        <v>0</v>
      </c>
      <c r="AH248" s="64">
        <f t="shared" si="195"/>
        <v>0</v>
      </c>
      <c r="AI248" s="86">
        <f t="shared" si="195"/>
        <v>0</v>
      </c>
    </row>
    <row r="249" spans="1:160">
      <c r="A249" s="60" t="str">
        <f>S216</f>
        <v>Anno 15</v>
      </c>
      <c r="B249" s="59" t="s">
        <v>61</v>
      </c>
      <c r="C249" s="81"/>
      <c r="D249" s="52">
        <f>D248</f>
        <v>0</v>
      </c>
      <c r="E249" s="78"/>
      <c r="Q249" s="63"/>
      <c r="R249" s="63"/>
      <c r="S249" s="63">
        <f>$D249-S248</f>
        <v>0</v>
      </c>
      <c r="T249" s="63">
        <f t="shared" ref="T249:AI249" si="196">IF(S249-T248&gt;0,S249-T248,0)</f>
        <v>0</v>
      </c>
      <c r="U249" s="63">
        <f t="shared" si="196"/>
        <v>0</v>
      </c>
      <c r="V249" s="63">
        <f t="shared" si="196"/>
        <v>0</v>
      </c>
      <c r="W249" s="63">
        <f t="shared" si="196"/>
        <v>0</v>
      </c>
      <c r="X249" s="63">
        <f t="shared" si="196"/>
        <v>0</v>
      </c>
      <c r="Y249" s="63">
        <f t="shared" si="196"/>
        <v>0</v>
      </c>
      <c r="Z249" s="63">
        <f t="shared" si="196"/>
        <v>0</v>
      </c>
      <c r="AA249" s="63">
        <f t="shared" si="196"/>
        <v>0</v>
      </c>
      <c r="AB249" s="63">
        <f t="shared" si="196"/>
        <v>0</v>
      </c>
      <c r="AC249" s="63">
        <f t="shared" si="196"/>
        <v>0</v>
      </c>
      <c r="AD249" s="63">
        <f t="shared" si="196"/>
        <v>0</v>
      </c>
      <c r="AE249" s="63">
        <f t="shared" si="196"/>
        <v>0</v>
      </c>
      <c r="AF249" s="63">
        <f t="shared" si="196"/>
        <v>0</v>
      </c>
      <c r="AG249" s="63">
        <f t="shared" si="196"/>
        <v>0</v>
      </c>
      <c r="AH249" s="63">
        <f t="shared" si="196"/>
        <v>0</v>
      </c>
      <c r="AI249" s="79">
        <f t="shared" si="196"/>
        <v>0</v>
      </c>
    </row>
    <row r="250" spans="1:160">
      <c r="A250" s="95" t="str">
        <f>T216</f>
        <v>Anno 16</v>
      </c>
      <c r="B250" s="80" t="str">
        <f>$B242</f>
        <v>Revisione generale</v>
      </c>
      <c r="C250" s="81">
        <f>$C$218</f>
        <v>0</v>
      </c>
      <c r="D250" s="52">
        <f>Ipotesi!R33</f>
        <v>0</v>
      </c>
      <c r="E250" s="78"/>
      <c r="Q250" s="64"/>
      <c r="R250" s="64"/>
      <c r="S250" s="64"/>
      <c r="T250" s="64">
        <f>IF($D250*$C250&gt;=$D251,$D251,$D250*$C250)</f>
        <v>0</v>
      </c>
      <c r="U250" s="64">
        <f t="shared" ref="U250:AI250" si="197">IF($D250*$C250&gt;=T251,T251,$D250*$C250)</f>
        <v>0</v>
      </c>
      <c r="V250" s="64">
        <f t="shared" si="197"/>
        <v>0</v>
      </c>
      <c r="W250" s="64">
        <f t="shared" si="197"/>
        <v>0</v>
      </c>
      <c r="X250" s="64">
        <f t="shared" si="197"/>
        <v>0</v>
      </c>
      <c r="Y250" s="64">
        <f t="shared" si="197"/>
        <v>0</v>
      </c>
      <c r="Z250" s="64">
        <f t="shared" si="197"/>
        <v>0</v>
      </c>
      <c r="AA250" s="64">
        <f t="shared" si="197"/>
        <v>0</v>
      </c>
      <c r="AB250" s="64">
        <f t="shared" si="197"/>
        <v>0</v>
      </c>
      <c r="AC250" s="64">
        <f t="shared" si="197"/>
        <v>0</v>
      </c>
      <c r="AD250" s="64">
        <f t="shared" si="197"/>
        <v>0</v>
      </c>
      <c r="AE250" s="64">
        <f t="shared" si="197"/>
        <v>0</v>
      </c>
      <c r="AF250" s="64">
        <f t="shared" si="197"/>
        <v>0</v>
      </c>
      <c r="AG250" s="64">
        <f t="shared" si="197"/>
        <v>0</v>
      </c>
      <c r="AH250" s="64">
        <f t="shared" si="197"/>
        <v>0</v>
      </c>
      <c r="AI250" s="86">
        <f t="shared" si="197"/>
        <v>0</v>
      </c>
    </row>
    <row r="251" spans="1:160">
      <c r="A251" s="60" t="str">
        <f>T216</f>
        <v>Anno 16</v>
      </c>
      <c r="B251" s="59" t="s">
        <v>61</v>
      </c>
      <c r="C251" s="81"/>
      <c r="D251" s="52">
        <f>D250</f>
        <v>0</v>
      </c>
      <c r="E251" s="78"/>
      <c r="Q251" s="63"/>
      <c r="R251" s="63"/>
      <c r="S251" s="63"/>
      <c r="T251" s="63">
        <f>$D251-T250</f>
        <v>0</v>
      </c>
      <c r="U251" s="63">
        <f t="shared" ref="U251:AI251" si="198">IF(T251-U250&gt;0,T251-U250,0)</f>
        <v>0</v>
      </c>
      <c r="V251" s="63">
        <f t="shared" si="198"/>
        <v>0</v>
      </c>
      <c r="W251" s="63">
        <f t="shared" si="198"/>
        <v>0</v>
      </c>
      <c r="X251" s="63">
        <f t="shared" si="198"/>
        <v>0</v>
      </c>
      <c r="Y251" s="63">
        <f t="shared" si="198"/>
        <v>0</v>
      </c>
      <c r="Z251" s="63">
        <f t="shared" si="198"/>
        <v>0</v>
      </c>
      <c r="AA251" s="63">
        <f t="shared" si="198"/>
        <v>0</v>
      </c>
      <c r="AB251" s="63">
        <f t="shared" si="198"/>
        <v>0</v>
      </c>
      <c r="AC251" s="63">
        <f t="shared" si="198"/>
        <v>0</v>
      </c>
      <c r="AD251" s="63">
        <f t="shared" si="198"/>
        <v>0</v>
      </c>
      <c r="AE251" s="63">
        <f t="shared" si="198"/>
        <v>0</v>
      </c>
      <c r="AF251" s="63">
        <f t="shared" si="198"/>
        <v>0</v>
      </c>
      <c r="AG251" s="63">
        <f t="shared" si="198"/>
        <v>0</v>
      </c>
      <c r="AH251" s="63">
        <f t="shared" si="198"/>
        <v>0</v>
      </c>
      <c r="AI251" s="79">
        <f t="shared" si="198"/>
        <v>0</v>
      </c>
    </row>
    <row r="252" spans="1:160">
      <c r="A252" s="95" t="str">
        <f>U216</f>
        <v>Anno 17</v>
      </c>
      <c r="B252" s="80" t="str">
        <f>$B242</f>
        <v>Revisione generale</v>
      </c>
      <c r="C252" s="81">
        <f>$C$218</f>
        <v>0</v>
      </c>
      <c r="D252" s="52">
        <f>Ipotesi!S33</f>
        <v>0</v>
      </c>
      <c r="E252" s="78"/>
      <c r="Q252" s="64"/>
      <c r="R252" s="64"/>
      <c r="S252" s="64"/>
      <c r="T252" s="64"/>
      <c r="U252" s="64">
        <f>IF($D252*$C252&gt;=$D253,$D253,$D252*$C252)</f>
        <v>0</v>
      </c>
      <c r="V252" s="64">
        <f t="shared" ref="V252:AI252" si="199">IF($D252*$C252&gt;=U253,U253,$D252*$C252)</f>
        <v>0</v>
      </c>
      <c r="W252" s="64">
        <f t="shared" si="199"/>
        <v>0</v>
      </c>
      <c r="X252" s="64">
        <f t="shared" si="199"/>
        <v>0</v>
      </c>
      <c r="Y252" s="64">
        <f t="shared" si="199"/>
        <v>0</v>
      </c>
      <c r="Z252" s="64">
        <f t="shared" si="199"/>
        <v>0</v>
      </c>
      <c r="AA252" s="64">
        <f t="shared" si="199"/>
        <v>0</v>
      </c>
      <c r="AB252" s="64">
        <f t="shared" si="199"/>
        <v>0</v>
      </c>
      <c r="AC252" s="64">
        <f t="shared" si="199"/>
        <v>0</v>
      </c>
      <c r="AD252" s="64">
        <f t="shared" si="199"/>
        <v>0</v>
      </c>
      <c r="AE252" s="64">
        <f t="shared" si="199"/>
        <v>0</v>
      </c>
      <c r="AF252" s="64">
        <f t="shared" si="199"/>
        <v>0</v>
      </c>
      <c r="AG252" s="64">
        <f t="shared" si="199"/>
        <v>0</v>
      </c>
      <c r="AH252" s="64">
        <f t="shared" si="199"/>
        <v>0</v>
      </c>
      <c r="AI252" s="86">
        <f t="shared" si="199"/>
        <v>0</v>
      </c>
    </row>
    <row r="253" spans="1:160">
      <c r="A253" s="60" t="str">
        <f>U216</f>
        <v>Anno 17</v>
      </c>
      <c r="B253" s="59" t="s">
        <v>61</v>
      </c>
      <c r="C253" s="81"/>
      <c r="D253" s="52">
        <f>D252</f>
        <v>0</v>
      </c>
      <c r="E253" s="78"/>
      <c r="Q253" s="63"/>
      <c r="R253" s="63"/>
      <c r="S253" s="63"/>
      <c r="T253" s="63"/>
      <c r="U253" s="63">
        <f>$D253-U252</f>
        <v>0</v>
      </c>
      <c r="V253" s="63">
        <f t="shared" ref="V253:AI253" si="200">IF(U253-V252&gt;0,U253-V252,0)</f>
        <v>0</v>
      </c>
      <c r="W253" s="63">
        <f t="shared" si="200"/>
        <v>0</v>
      </c>
      <c r="X253" s="63">
        <f t="shared" si="200"/>
        <v>0</v>
      </c>
      <c r="Y253" s="63">
        <f t="shared" si="200"/>
        <v>0</v>
      </c>
      <c r="Z253" s="63">
        <f t="shared" si="200"/>
        <v>0</v>
      </c>
      <c r="AA253" s="63">
        <f t="shared" si="200"/>
        <v>0</v>
      </c>
      <c r="AB253" s="63">
        <f t="shared" si="200"/>
        <v>0</v>
      </c>
      <c r="AC253" s="63">
        <f t="shared" si="200"/>
        <v>0</v>
      </c>
      <c r="AD253" s="63">
        <f t="shared" si="200"/>
        <v>0</v>
      </c>
      <c r="AE253" s="63">
        <f t="shared" si="200"/>
        <v>0</v>
      </c>
      <c r="AF253" s="63">
        <f t="shared" si="200"/>
        <v>0</v>
      </c>
      <c r="AG253" s="63">
        <f t="shared" si="200"/>
        <v>0</v>
      </c>
      <c r="AH253" s="63">
        <f t="shared" si="200"/>
        <v>0</v>
      </c>
      <c r="AI253" s="79">
        <f t="shared" si="200"/>
        <v>0</v>
      </c>
    </row>
    <row r="254" spans="1:160">
      <c r="A254" s="95" t="str">
        <f>V216</f>
        <v>Anno 18</v>
      </c>
      <c r="B254" s="80" t="str">
        <f>$B242</f>
        <v>Revisione generale</v>
      </c>
      <c r="C254" s="81">
        <f>$C$218</f>
        <v>0</v>
      </c>
      <c r="D254" s="52">
        <f>Ipotesi!T33</f>
        <v>0</v>
      </c>
      <c r="E254" s="78"/>
      <c r="Q254" s="64"/>
      <c r="R254" s="64"/>
      <c r="S254" s="64"/>
      <c r="T254" s="64"/>
      <c r="U254" s="64"/>
      <c r="V254" s="64">
        <f>IF($D254*$C254&gt;=$D255,$D255,$D254*$C254)</f>
        <v>0</v>
      </c>
      <c r="W254" s="64">
        <f t="shared" ref="W254:AI254" si="201">IF($D254*$C254&gt;=V255,V255,$D254*$C254)</f>
        <v>0</v>
      </c>
      <c r="X254" s="64">
        <f t="shared" si="201"/>
        <v>0</v>
      </c>
      <c r="Y254" s="64">
        <f t="shared" si="201"/>
        <v>0</v>
      </c>
      <c r="Z254" s="64">
        <f t="shared" si="201"/>
        <v>0</v>
      </c>
      <c r="AA254" s="64">
        <f t="shared" si="201"/>
        <v>0</v>
      </c>
      <c r="AB254" s="64">
        <f t="shared" si="201"/>
        <v>0</v>
      </c>
      <c r="AC254" s="64">
        <f t="shared" si="201"/>
        <v>0</v>
      </c>
      <c r="AD254" s="64">
        <f t="shared" si="201"/>
        <v>0</v>
      </c>
      <c r="AE254" s="64">
        <f t="shared" si="201"/>
        <v>0</v>
      </c>
      <c r="AF254" s="64">
        <f t="shared" si="201"/>
        <v>0</v>
      </c>
      <c r="AG254" s="64">
        <f t="shared" si="201"/>
        <v>0</v>
      </c>
      <c r="AH254" s="64">
        <f t="shared" si="201"/>
        <v>0</v>
      </c>
      <c r="AI254" s="86">
        <f t="shared" si="201"/>
        <v>0</v>
      </c>
    </row>
    <row r="255" spans="1:160">
      <c r="A255" s="60" t="str">
        <f>V216</f>
        <v>Anno 18</v>
      </c>
      <c r="B255" s="59" t="s">
        <v>61</v>
      </c>
      <c r="C255" s="81"/>
      <c r="D255" s="52">
        <f>D254</f>
        <v>0</v>
      </c>
      <c r="E255" s="78"/>
      <c r="Q255" s="63"/>
      <c r="R255" s="63"/>
      <c r="S255" s="63"/>
      <c r="T255" s="63"/>
      <c r="U255" s="63"/>
      <c r="V255" s="63">
        <f>$D255-V254</f>
        <v>0</v>
      </c>
      <c r="W255" s="63">
        <f t="shared" ref="W255:AI255" si="202">IF(V255-W254&gt;0,V255-W254,0)</f>
        <v>0</v>
      </c>
      <c r="X255" s="63">
        <f t="shared" si="202"/>
        <v>0</v>
      </c>
      <c r="Y255" s="63">
        <f t="shared" si="202"/>
        <v>0</v>
      </c>
      <c r="Z255" s="63">
        <f t="shared" si="202"/>
        <v>0</v>
      </c>
      <c r="AA255" s="63">
        <f t="shared" si="202"/>
        <v>0</v>
      </c>
      <c r="AB255" s="63">
        <f t="shared" si="202"/>
        <v>0</v>
      </c>
      <c r="AC255" s="63">
        <f t="shared" si="202"/>
        <v>0</v>
      </c>
      <c r="AD255" s="63">
        <f t="shared" si="202"/>
        <v>0</v>
      </c>
      <c r="AE255" s="63">
        <f t="shared" si="202"/>
        <v>0</v>
      </c>
      <c r="AF255" s="63">
        <f t="shared" si="202"/>
        <v>0</v>
      </c>
      <c r="AG255" s="63">
        <f t="shared" si="202"/>
        <v>0</v>
      </c>
      <c r="AH255" s="63">
        <f t="shared" si="202"/>
        <v>0</v>
      </c>
      <c r="AI255" s="79">
        <f t="shared" si="202"/>
        <v>0</v>
      </c>
    </row>
    <row r="256" spans="1:160">
      <c r="A256" s="95" t="str">
        <f>W216</f>
        <v>Anno 19</v>
      </c>
      <c r="B256" s="80" t="str">
        <f>$B242</f>
        <v>Revisione generale</v>
      </c>
      <c r="C256" s="81">
        <f>$C$218</f>
        <v>0</v>
      </c>
      <c r="D256" s="52">
        <f>Ipotesi!U33</f>
        <v>0</v>
      </c>
      <c r="E256" s="78"/>
      <c r="Q256" s="64"/>
      <c r="R256" s="64"/>
      <c r="S256" s="64"/>
      <c r="T256" s="64"/>
      <c r="U256" s="64"/>
      <c r="V256" s="87"/>
      <c r="W256" s="64">
        <f>IF($D256*$C256&gt;=$D257,$D257,$D256*$C256)</f>
        <v>0</v>
      </c>
      <c r="X256" s="64">
        <f t="shared" ref="X256:AI256" si="203">IF($D256*$C256&gt;=W257,W257,$D256*$C256)</f>
        <v>0</v>
      </c>
      <c r="Y256" s="64">
        <f t="shared" si="203"/>
        <v>0</v>
      </c>
      <c r="Z256" s="64">
        <f t="shared" si="203"/>
        <v>0</v>
      </c>
      <c r="AA256" s="64">
        <f t="shared" si="203"/>
        <v>0</v>
      </c>
      <c r="AB256" s="64">
        <f t="shared" si="203"/>
        <v>0</v>
      </c>
      <c r="AC256" s="64">
        <f t="shared" si="203"/>
        <v>0</v>
      </c>
      <c r="AD256" s="64">
        <f t="shared" si="203"/>
        <v>0</v>
      </c>
      <c r="AE256" s="64">
        <f t="shared" si="203"/>
        <v>0</v>
      </c>
      <c r="AF256" s="64">
        <f t="shared" si="203"/>
        <v>0</v>
      </c>
      <c r="AG256" s="64">
        <f t="shared" si="203"/>
        <v>0</v>
      </c>
      <c r="AH256" s="64">
        <f t="shared" si="203"/>
        <v>0</v>
      </c>
      <c r="AI256" s="86">
        <f t="shared" si="203"/>
        <v>0</v>
      </c>
    </row>
    <row r="257" spans="1:35">
      <c r="A257" s="60" t="str">
        <f>W216</f>
        <v>Anno 19</v>
      </c>
      <c r="B257" s="59" t="s">
        <v>61</v>
      </c>
      <c r="C257" s="81"/>
      <c r="D257" s="52">
        <f>D256</f>
        <v>0</v>
      </c>
      <c r="E257" s="78"/>
      <c r="Q257" s="63"/>
      <c r="R257" s="63"/>
      <c r="S257" s="63"/>
      <c r="T257" s="63"/>
      <c r="U257" s="63"/>
      <c r="V257" s="66"/>
      <c r="W257" s="63">
        <f>$D257-W256</f>
        <v>0</v>
      </c>
      <c r="X257" s="63">
        <f t="shared" ref="X257:AI257" si="204">IF(W257-X256&gt;0,W257-X256,0)</f>
        <v>0</v>
      </c>
      <c r="Y257" s="63">
        <f t="shared" si="204"/>
        <v>0</v>
      </c>
      <c r="Z257" s="63">
        <f t="shared" si="204"/>
        <v>0</v>
      </c>
      <c r="AA257" s="63">
        <f t="shared" si="204"/>
        <v>0</v>
      </c>
      <c r="AB257" s="63">
        <f t="shared" si="204"/>
        <v>0</v>
      </c>
      <c r="AC257" s="63">
        <f t="shared" si="204"/>
        <v>0</v>
      </c>
      <c r="AD257" s="63">
        <f t="shared" si="204"/>
        <v>0</v>
      </c>
      <c r="AE257" s="63">
        <f t="shared" si="204"/>
        <v>0</v>
      </c>
      <c r="AF257" s="63">
        <f t="shared" si="204"/>
        <v>0</v>
      </c>
      <c r="AG257" s="63">
        <f t="shared" si="204"/>
        <v>0</v>
      </c>
      <c r="AH257" s="63">
        <f t="shared" si="204"/>
        <v>0</v>
      </c>
      <c r="AI257" s="79">
        <f t="shared" si="204"/>
        <v>0</v>
      </c>
    </row>
    <row r="258" spans="1:35">
      <c r="A258" s="95" t="str">
        <f>X216</f>
        <v>Anno 20</v>
      </c>
      <c r="B258" s="80" t="str">
        <f>$B242</f>
        <v>Revisione generale</v>
      </c>
      <c r="C258" s="81">
        <f>$C$218</f>
        <v>0</v>
      </c>
      <c r="D258" s="52">
        <f>Ipotesi!V33</f>
        <v>0</v>
      </c>
      <c r="E258" s="78"/>
      <c r="Q258" s="64"/>
      <c r="R258" s="64"/>
      <c r="S258" s="64"/>
      <c r="T258" s="64"/>
      <c r="U258" s="64"/>
      <c r="V258" s="87"/>
      <c r="W258" s="87"/>
      <c r="X258" s="64">
        <f>IF($D258*$C258&gt;=$D259,$D259,$D258*$C258)</f>
        <v>0</v>
      </c>
      <c r="Y258" s="64">
        <f t="shared" ref="Y258:AI258" si="205">IF($D258*$C258&gt;=X259,X259,$D258*$C258)</f>
        <v>0</v>
      </c>
      <c r="Z258" s="64">
        <f t="shared" si="205"/>
        <v>0</v>
      </c>
      <c r="AA258" s="64">
        <f t="shared" si="205"/>
        <v>0</v>
      </c>
      <c r="AB258" s="64">
        <f t="shared" si="205"/>
        <v>0</v>
      </c>
      <c r="AC258" s="64">
        <f t="shared" si="205"/>
        <v>0</v>
      </c>
      <c r="AD258" s="64">
        <f t="shared" si="205"/>
        <v>0</v>
      </c>
      <c r="AE258" s="64">
        <f t="shared" si="205"/>
        <v>0</v>
      </c>
      <c r="AF258" s="64">
        <f t="shared" si="205"/>
        <v>0</v>
      </c>
      <c r="AG258" s="64">
        <f t="shared" si="205"/>
        <v>0</v>
      </c>
      <c r="AH258" s="64">
        <f t="shared" si="205"/>
        <v>0</v>
      </c>
      <c r="AI258" s="86">
        <f t="shared" si="205"/>
        <v>0</v>
      </c>
    </row>
    <row r="259" spans="1:35">
      <c r="A259" s="60" t="str">
        <f>X216</f>
        <v>Anno 20</v>
      </c>
      <c r="B259" s="59" t="s">
        <v>61</v>
      </c>
      <c r="C259" s="81"/>
      <c r="D259" s="52">
        <f>D258</f>
        <v>0</v>
      </c>
      <c r="E259" s="78"/>
      <c r="Q259" s="63"/>
      <c r="R259" s="63"/>
      <c r="S259" s="63"/>
      <c r="T259" s="63"/>
      <c r="U259" s="63"/>
      <c r="V259" s="66"/>
      <c r="W259" s="66"/>
      <c r="X259" s="63">
        <f>$D259-X258</f>
        <v>0</v>
      </c>
      <c r="Y259" s="63">
        <f t="shared" ref="Y259:AI259" si="206">IF(X259-Y258&gt;0,X259-Y258,0)</f>
        <v>0</v>
      </c>
      <c r="Z259" s="63">
        <f t="shared" si="206"/>
        <v>0</v>
      </c>
      <c r="AA259" s="63">
        <f t="shared" si="206"/>
        <v>0</v>
      </c>
      <c r="AB259" s="63">
        <f t="shared" si="206"/>
        <v>0</v>
      </c>
      <c r="AC259" s="63">
        <f t="shared" si="206"/>
        <v>0</v>
      </c>
      <c r="AD259" s="63">
        <f t="shared" si="206"/>
        <v>0</v>
      </c>
      <c r="AE259" s="63">
        <f t="shared" si="206"/>
        <v>0</v>
      </c>
      <c r="AF259" s="63">
        <f t="shared" si="206"/>
        <v>0</v>
      </c>
      <c r="AG259" s="63">
        <f t="shared" si="206"/>
        <v>0</v>
      </c>
      <c r="AH259" s="63">
        <f t="shared" si="206"/>
        <v>0</v>
      </c>
      <c r="AI259" s="79">
        <f t="shared" si="206"/>
        <v>0</v>
      </c>
    </row>
    <row r="260" spans="1:35">
      <c r="A260" s="95" t="str">
        <f>Y216</f>
        <v>Anno 21</v>
      </c>
      <c r="B260" s="80" t="str">
        <f>$B242</f>
        <v>Revisione generale</v>
      </c>
      <c r="C260" s="81">
        <f>$C$218</f>
        <v>0</v>
      </c>
      <c r="D260" s="52">
        <f>Ipotesi!W33</f>
        <v>0</v>
      </c>
      <c r="E260" s="78"/>
      <c r="Q260" s="64"/>
      <c r="R260" s="64"/>
      <c r="S260" s="64"/>
      <c r="T260" s="64"/>
      <c r="U260" s="64"/>
      <c r="V260" s="87"/>
      <c r="W260" s="87"/>
      <c r="X260" s="87"/>
      <c r="Y260" s="64">
        <f>IF($D260*$C260&gt;=$D261,$D261,$D260*$C260)</f>
        <v>0</v>
      </c>
      <c r="Z260" s="64">
        <f t="shared" ref="Z260:AI260" si="207">IF($D260*$C260&gt;=Y261,Y261,$D260*$C260)</f>
        <v>0</v>
      </c>
      <c r="AA260" s="64">
        <f t="shared" si="207"/>
        <v>0</v>
      </c>
      <c r="AB260" s="64">
        <f t="shared" si="207"/>
        <v>0</v>
      </c>
      <c r="AC260" s="64">
        <f t="shared" si="207"/>
        <v>0</v>
      </c>
      <c r="AD260" s="64">
        <f t="shared" si="207"/>
        <v>0</v>
      </c>
      <c r="AE260" s="64">
        <f t="shared" si="207"/>
        <v>0</v>
      </c>
      <c r="AF260" s="64">
        <f t="shared" si="207"/>
        <v>0</v>
      </c>
      <c r="AG260" s="64">
        <f t="shared" si="207"/>
        <v>0</v>
      </c>
      <c r="AH260" s="64">
        <f t="shared" si="207"/>
        <v>0</v>
      </c>
      <c r="AI260" s="86">
        <f t="shared" si="207"/>
        <v>0</v>
      </c>
    </row>
    <row r="261" spans="1:35">
      <c r="A261" s="60" t="str">
        <f>Y216</f>
        <v>Anno 21</v>
      </c>
      <c r="B261" s="59" t="s">
        <v>61</v>
      </c>
      <c r="C261" s="81"/>
      <c r="D261" s="52">
        <f>D260</f>
        <v>0</v>
      </c>
      <c r="E261" s="78"/>
      <c r="Q261" s="63"/>
      <c r="R261" s="63"/>
      <c r="S261" s="63"/>
      <c r="T261" s="63"/>
      <c r="U261" s="63"/>
      <c r="V261" s="66"/>
      <c r="W261" s="66"/>
      <c r="X261" s="66"/>
      <c r="Y261" s="63">
        <f>$D261-Y260</f>
        <v>0</v>
      </c>
      <c r="Z261" s="63">
        <f t="shared" ref="Z261:AI261" si="208">IF(Y261-Z260&gt;0,Y261-Z260,0)</f>
        <v>0</v>
      </c>
      <c r="AA261" s="63">
        <f t="shared" si="208"/>
        <v>0</v>
      </c>
      <c r="AB261" s="63">
        <f t="shared" si="208"/>
        <v>0</v>
      </c>
      <c r="AC261" s="63">
        <f t="shared" si="208"/>
        <v>0</v>
      </c>
      <c r="AD261" s="63">
        <f t="shared" si="208"/>
        <v>0</v>
      </c>
      <c r="AE261" s="63">
        <f t="shared" si="208"/>
        <v>0</v>
      </c>
      <c r="AF261" s="63">
        <f t="shared" si="208"/>
        <v>0</v>
      </c>
      <c r="AG261" s="63">
        <f t="shared" si="208"/>
        <v>0</v>
      </c>
      <c r="AH261" s="63">
        <f t="shared" si="208"/>
        <v>0</v>
      </c>
      <c r="AI261" s="79">
        <f t="shared" si="208"/>
        <v>0</v>
      </c>
    </row>
    <row r="262" spans="1:35">
      <c r="A262" s="95" t="str">
        <f>Z216</f>
        <v>Anno 22</v>
      </c>
      <c r="B262" s="80" t="str">
        <f>$B242</f>
        <v>Revisione generale</v>
      </c>
      <c r="C262" s="81">
        <f>$C$218</f>
        <v>0</v>
      </c>
      <c r="D262" s="52">
        <f>Ipotesi!X33</f>
        <v>0</v>
      </c>
      <c r="E262" s="78"/>
      <c r="Q262" s="64"/>
      <c r="R262" s="64"/>
      <c r="S262" s="64"/>
      <c r="T262" s="64"/>
      <c r="U262" s="64"/>
      <c r="V262" s="87"/>
      <c r="W262" s="87"/>
      <c r="X262" s="87"/>
      <c r="Y262" s="87"/>
      <c r="Z262" s="64">
        <f>IF($D262*$C262&gt;=$D263,$D263,$D262*$C262)</f>
        <v>0</v>
      </c>
      <c r="AA262" s="64">
        <f t="shared" ref="AA262:AI262" si="209">IF($D262*$C262&gt;=Z263,Z263,$D262*$C262)</f>
        <v>0</v>
      </c>
      <c r="AB262" s="64">
        <f t="shared" si="209"/>
        <v>0</v>
      </c>
      <c r="AC262" s="64">
        <f t="shared" si="209"/>
        <v>0</v>
      </c>
      <c r="AD262" s="64">
        <f t="shared" si="209"/>
        <v>0</v>
      </c>
      <c r="AE262" s="64">
        <f t="shared" si="209"/>
        <v>0</v>
      </c>
      <c r="AF262" s="64">
        <f t="shared" si="209"/>
        <v>0</v>
      </c>
      <c r="AG262" s="64">
        <f t="shared" si="209"/>
        <v>0</v>
      </c>
      <c r="AH262" s="64">
        <f t="shared" si="209"/>
        <v>0</v>
      </c>
      <c r="AI262" s="86">
        <f t="shared" si="209"/>
        <v>0</v>
      </c>
    </row>
    <row r="263" spans="1:35">
      <c r="A263" s="60" t="str">
        <f>Z216</f>
        <v>Anno 22</v>
      </c>
      <c r="B263" s="59" t="s">
        <v>61</v>
      </c>
      <c r="C263" s="81"/>
      <c r="D263" s="52">
        <f>D262</f>
        <v>0</v>
      </c>
      <c r="E263" s="78"/>
      <c r="Q263" s="63"/>
      <c r="R263" s="63"/>
      <c r="S263" s="63"/>
      <c r="T263" s="63"/>
      <c r="U263" s="63"/>
      <c r="V263" s="66"/>
      <c r="W263" s="66"/>
      <c r="X263" s="66"/>
      <c r="Y263" s="66"/>
      <c r="Z263" s="63">
        <f>$D263-Z262</f>
        <v>0</v>
      </c>
      <c r="AA263" s="63">
        <f t="shared" ref="AA263:AI263" si="210">IF(Z263-AA262&gt;0,Z263-AA262,0)</f>
        <v>0</v>
      </c>
      <c r="AB263" s="63">
        <f t="shared" si="210"/>
        <v>0</v>
      </c>
      <c r="AC263" s="63">
        <f t="shared" si="210"/>
        <v>0</v>
      </c>
      <c r="AD263" s="63">
        <f t="shared" si="210"/>
        <v>0</v>
      </c>
      <c r="AE263" s="63">
        <f t="shared" si="210"/>
        <v>0</v>
      </c>
      <c r="AF263" s="63">
        <f t="shared" si="210"/>
        <v>0</v>
      </c>
      <c r="AG263" s="63">
        <f t="shared" si="210"/>
        <v>0</v>
      </c>
      <c r="AH263" s="63">
        <f t="shared" si="210"/>
        <v>0</v>
      </c>
      <c r="AI263" s="79">
        <f t="shared" si="210"/>
        <v>0</v>
      </c>
    </row>
    <row r="264" spans="1:35">
      <c r="A264" s="95" t="str">
        <f>AA216</f>
        <v>Anno 23</v>
      </c>
      <c r="B264" s="80" t="str">
        <f>$B242</f>
        <v>Revisione generale</v>
      </c>
      <c r="C264" s="81">
        <f>$C$218</f>
        <v>0</v>
      </c>
      <c r="D264" s="52">
        <f>Ipotesi!Y33</f>
        <v>0</v>
      </c>
      <c r="E264" s="78"/>
      <c r="Q264" s="64"/>
      <c r="R264" s="64"/>
      <c r="S264" s="64"/>
      <c r="T264" s="64"/>
      <c r="U264" s="64"/>
      <c r="V264" s="87"/>
      <c r="W264" s="87"/>
      <c r="X264" s="87"/>
      <c r="Y264" s="87"/>
      <c r="Z264" s="87"/>
      <c r="AA264" s="64">
        <f>IF($D264*$C264&gt;=$D265,$D265,$D264*$C264)</f>
        <v>0</v>
      </c>
      <c r="AB264" s="64">
        <f t="shared" ref="AB264:AI264" si="211">IF($D264*$C264&gt;=AA265,AA265,$D264*$C264)</f>
        <v>0</v>
      </c>
      <c r="AC264" s="64">
        <f t="shared" si="211"/>
        <v>0</v>
      </c>
      <c r="AD264" s="64">
        <f t="shared" si="211"/>
        <v>0</v>
      </c>
      <c r="AE264" s="64">
        <f t="shared" si="211"/>
        <v>0</v>
      </c>
      <c r="AF264" s="64">
        <f t="shared" si="211"/>
        <v>0</v>
      </c>
      <c r="AG264" s="64">
        <f t="shared" si="211"/>
        <v>0</v>
      </c>
      <c r="AH264" s="64">
        <f t="shared" si="211"/>
        <v>0</v>
      </c>
      <c r="AI264" s="86">
        <f t="shared" si="211"/>
        <v>0</v>
      </c>
    </row>
    <row r="265" spans="1:35">
      <c r="A265" s="60" t="str">
        <f>AA216</f>
        <v>Anno 23</v>
      </c>
      <c r="B265" s="59" t="s">
        <v>61</v>
      </c>
      <c r="C265" s="81"/>
      <c r="D265" s="52">
        <f>D264</f>
        <v>0</v>
      </c>
      <c r="E265" s="78"/>
      <c r="Q265" s="63"/>
      <c r="R265" s="63"/>
      <c r="S265" s="63"/>
      <c r="T265" s="63"/>
      <c r="U265" s="63"/>
      <c r="V265" s="66"/>
      <c r="W265" s="66"/>
      <c r="X265" s="66"/>
      <c r="Y265" s="66"/>
      <c r="Z265" s="66"/>
      <c r="AA265" s="63">
        <f>$D265-AA264</f>
        <v>0</v>
      </c>
      <c r="AB265" s="63">
        <f t="shared" ref="AB265:AI265" si="212">IF(AA265-AB264&gt;0,AA265-AB264,0)</f>
        <v>0</v>
      </c>
      <c r="AC265" s="63">
        <f t="shared" si="212"/>
        <v>0</v>
      </c>
      <c r="AD265" s="63">
        <f t="shared" si="212"/>
        <v>0</v>
      </c>
      <c r="AE265" s="63">
        <f t="shared" si="212"/>
        <v>0</v>
      </c>
      <c r="AF265" s="63">
        <f t="shared" si="212"/>
        <v>0</v>
      </c>
      <c r="AG265" s="63">
        <f t="shared" si="212"/>
        <v>0</v>
      </c>
      <c r="AH265" s="63">
        <f t="shared" si="212"/>
        <v>0</v>
      </c>
      <c r="AI265" s="79">
        <f t="shared" si="212"/>
        <v>0</v>
      </c>
    </row>
    <row r="266" spans="1:35">
      <c r="A266" s="95" t="str">
        <f>AB216</f>
        <v>Anno 24</v>
      </c>
      <c r="B266" s="80" t="str">
        <f>$B242</f>
        <v>Revisione generale</v>
      </c>
      <c r="C266" s="81">
        <f>$C$218</f>
        <v>0</v>
      </c>
      <c r="D266" s="52">
        <f>Ipotesi!Z33</f>
        <v>0</v>
      </c>
      <c r="E266" s="78"/>
      <c r="Q266" s="64"/>
      <c r="R266" s="64"/>
      <c r="S266" s="64"/>
      <c r="T266" s="64"/>
      <c r="U266" s="64"/>
      <c r="V266" s="87"/>
      <c r="W266" s="87"/>
      <c r="X266" s="87"/>
      <c r="Y266" s="87"/>
      <c r="Z266" s="87"/>
      <c r="AA266" s="87"/>
      <c r="AB266" s="64">
        <f>IF($D266*$C266&gt;=$D267,$D267,$D266*$C266)</f>
        <v>0</v>
      </c>
      <c r="AC266" s="64">
        <f t="shared" ref="AC266:AI266" si="213">IF($D266*$C266&gt;=AB267,AB267,$D266*$C266)</f>
        <v>0</v>
      </c>
      <c r="AD266" s="64">
        <f t="shared" si="213"/>
        <v>0</v>
      </c>
      <c r="AE266" s="64">
        <f t="shared" si="213"/>
        <v>0</v>
      </c>
      <c r="AF266" s="64">
        <f t="shared" si="213"/>
        <v>0</v>
      </c>
      <c r="AG266" s="64">
        <f t="shared" si="213"/>
        <v>0</v>
      </c>
      <c r="AH266" s="64">
        <f t="shared" si="213"/>
        <v>0</v>
      </c>
      <c r="AI266" s="86">
        <f t="shared" si="213"/>
        <v>0</v>
      </c>
    </row>
    <row r="267" spans="1:35">
      <c r="A267" s="60" t="str">
        <f>AB216</f>
        <v>Anno 24</v>
      </c>
      <c r="B267" s="59" t="s">
        <v>61</v>
      </c>
      <c r="C267" s="88"/>
      <c r="D267" s="52">
        <f>D266</f>
        <v>0</v>
      </c>
      <c r="E267" s="78"/>
      <c r="Q267" s="63"/>
      <c r="R267" s="63"/>
      <c r="S267" s="63"/>
      <c r="T267" s="63"/>
      <c r="U267" s="63"/>
      <c r="V267" s="66"/>
      <c r="W267" s="66"/>
      <c r="X267" s="66"/>
      <c r="Y267" s="66"/>
      <c r="Z267" s="66"/>
      <c r="AA267" s="66"/>
      <c r="AB267" s="63">
        <f>$D267-AB266</f>
        <v>0</v>
      </c>
      <c r="AC267" s="63">
        <f t="shared" ref="AC267:AI267" si="214">IF(AB267-AC266&gt;0,AB267-AC266,0)</f>
        <v>0</v>
      </c>
      <c r="AD267" s="63">
        <f t="shared" si="214"/>
        <v>0</v>
      </c>
      <c r="AE267" s="63">
        <f t="shared" si="214"/>
        <v>0</v>
      </c>
      <c r="AF267" s="63">
        <f t="shared" si="214"/>
        <v>0</v>
      </c>
      <c r="AG267" s="63">
        <f t="shared" si="214"/>
        <v>0</v>
      </c>
      <c r="AH267" s="63">
        <f t="shared" si="214"/>
        <v>0</v>
      </c>
      <c r="AI267" s="79">
        <f t="shared" si="214"/>
        <v>0</v>
      </c>
    </row>
    <row r="268" spans="1:35">
      <c r="A268" s="95" t="str">
        <f>AC216</f>
        <v>Anno 25</v>
      </c>
      <c r="B268" s="80" t="str">
        <f>$B266</f>
        <v>Revisione generale</v>
      </c>
      <c r="C268" s="81">
        <f>$C$218</f>
        <v>0</v>
      </c>
      <c r="D268" s="52">
        <f>Ipotesi!AA33</f>
        <v>0</v>
      </c>
      <c r="E268" s="78"/>
      <c r="AC268" s="64">
        <f>IF($D268*$C268&gt;=$D269,$D269,$D268*$C268)</f>
        <v>0</v>
      </c>
      <c r="AD268" s="64">
        <f t="shared" ref="AD268:AI268" si="215">IF($D268*$C268&gt;=AC269,AC269,$D268*$C268)</f>
        <v>0</v>
      </c>
      <c r="AE268" s="64">
        <f t="shared" si="215"/>
        <v>0</v>
      </c>
      <c r="AF268" s="64">
        <f t="shared" si="215"/>
        <v>0</v>
      </c>
      <c r="AG268" s="64">
        <f t="shared" si="215"/>
        <v>0</v>
      </c>
      <c r="AH268" s="64">
        <f t="shared" si="215"/>
        <v>0</v>
      </c>
      <c r="AI268" s="86">
        <f t="shared" si="215"/>
        <v>0</v>
      </c>
    </row>
    <row r="269" spans="1:35">
      <c r="A269" s="60" t="str">
        <f>AC216</f>
        <v>Anno 25</v>
      </c>
      <c r="B269" s="59" t="s">
        <v>61</v>
      </c>
      <c r="C269" s="81"/>
      <c r="D269" s="52">
        <f>D268</f>
        <v>0</v>
      </c>
      <c r="E269" s="78"/>
      <c r="AC269" s="63">
        <f>$D269-AC268</f>
        <v>0</v>
      </c>
      <c r="AD269" s="63">
        <f t="shared" ref="AD269:AI269" si="216">IF(AC269-AD268&gt;0,AC269-AD268,0)</f>
        <v>0</v>
      </c>
      <c r="AE269" s="63">
        <f t="shared" si="216"/>
        <v>0</v>
      </c>
      <c r="AF269" s="63">
        <f t="shared" si="216"/>
        <v>0</v>
      </c>
      <c r="AG269" s="63">
        <f t="shared" si="216"/>
        <v>0</v>
      </c>
      <c r="AH269" s="63">
        <f t="shared" si="216"/>
        <v>0</v>
      </c>
      <c r="AI269" s="79">
        <f t="shared" si="216"/>
        <v>0</v>
      </c>
    </row>
    <row r="270" spans="1:35">
      <c r="A270" s="95" t="str">
        <f>AD216</f>
        <v>Anno 26</v>
      </c>
      <c r="B270" s="80" t="str">
        <f>$B266</f>
        <v>Revisione generale</v>
      </c>
      <c r="C270" s="81">
        <f>$C$218</f>
        <v>0</v>
      </c>
      <c r="D270" s="52">
        <f>Ipotesi!AB33</f>
        <v>0</v>
      </c>
      <c r="E270" s="78"/>
      <c r="AC270" s="64"/>
      <c r="AD270" s="64">
        <f>IF($D270*$C270&gt;=$D271,$D271,$D270*$C270)</f>
        <v>0</v>
      </c>
      <c r="AE270" s="64">
        <f>IF($D270*$C270&gt;=AD271,AD271,$D270*$C270)</f>
        <v>0</v>
      </c>
      <c r="AF270" s="64">
        <f>IF($D270*$C270&gt;=AE271,AE271,$D270*$C270)</f>
        <v>0</v>
      </c>
      <c r="AG270" s="64">
        <f>IF($D270*$C270&gt;=AF271,AF271,$D270*$C270)</f>
        <v>0</v>
      </c>
      <c r="AH270" s="64">
        <f>IF($D270*$C270&gt;=AG271,AG271,$D270*$C270)</f>
        <v>0</v>
      </c>
      <c r="AI270" s="86">
        <f>IF($D270*$C270&gt;=AH271,AH271,$D270*$C270)</f>
        <v>0</v>
      </c>
    </row>
    <row r="271" spans="1:35">
      <c r="A271" s="60" t="str">
        <f>AD216</f>
        <v>Anno 26</v>
      </c>
      <c r="B271" s="59" t="s">
        <v>61</v>
      </c>
      <c r="C271" s="81"/>
      <c r="D271" s="52">
        <f>D270</f>
        <v>0</v>
      </c>
      <c r="E271" s="78"/>
      <c r="AC271" s="63"/>
      <c r="AD271" s="63">
        <f>$D271-AD270</f>
        <v>0</v>
      </c>
      <c r="AE271" s="63">
        <f>IF(AD271-AE270&gt;0,AD271-AE270,0)</f>
        <v>0</v>
      </c>
      <c r="AF271" s="63">
        <f>IF(AE271-AF270&gt;0,AE271-AF270,0)</f>
        <v>0</v>
      </c>
      <c r="AG271" s="63">
        <f>IF(AF271-AG270&gt;0,AF271-AG270,0)</f>
        <v>0</v>
      </c>
      <c r="AH271" s="63">
        <f>IF(AG271-AH270&gt;0,AG271-AH270,0)</f>
        <v>0</v>
      </c>
      <c r="AI271" s="79">
        <f>IF(AH271-AI270&gt;0,AH271-AI270,0)</f>
        <v>0</v>
      </c>
    </row>
    <row r="272" spans="1:35">
      <c r="A272" s="95" t="str">
        <f>AE216</f>
        <v>Anno 27</v>
      </c>
      <c r="B272" s="80" t="str">
        <f>$B266</f>
        <v>Revisione generale</v>
      </c>
      <c r="C272" s="81">
        <f>$C$218</f>
        <v>0</v>
      </c>
      <c r="D272" s="52">
        <f>Ipotesi!AC33</f>
        <v>0</v>
      </c>
      <c r="E272" s="78"/>
      <c r="AC272" s="64"/>
      <c r="AD272" s="64"/>
      <c r="AE272" s="64">
        <f>IF($D272*$C272&gt;=$D273,$D273,$D272*$C272)</f>
        <v>0</v>
      </c>
      <c r="AF272" s="64">
        <f>IF($D272*$C272&gt;=AE273,AE273,$D272*$C272)</f>
        <v>0</v>
      </c>
      <c r="AG272" s="64">
        <f>IF($D272*$C272&gt;=AF273,AF273,$D272*$C272)</f>
        <v>0</v>
      </c>
      <c r="AH272" s="64">
        <f>IF($D272*$C272&gt;=AG273,AG273,$D272*$C272)</f>
        <v>0</v>
      </c>
      <c r="AI272" s="86">
        <f>IF($D272*$C272&gt;=AH273,AH273,$D272*$C272)</f>
        <v>0</v>
      </c>
    </row>
    <row r="273" spans="1:36">
      <c r="A273" s="60" t="str">
        <f>AE216</f>
        <v>Anno 27</v>
      </c>
      <c r="B273" s="59" t="s">
        <v>61</v>
      </c>
      <c r="C273" s="81"/>
      <c r="D273" s="52">
        <f>D272</f>
        <v>0</v>
      </c>
      <c r="E273" s="78"/>
      <c r="AC273" s="63"/>
      <c r="AD273" s="63"/>
      <c r="AE273" s="63">
        <f>$D273-AE272</f>
        <v>0</v>
      </c>
      <c r="AF273" s="63">
        <f>IF(AE273-AF272&gt;0,AE273-AF272,0)</f>
        <v>0</v>
      </c>
      <c r="AG273" s="63">
        <f>IF(AF273-AG272&gt;0,AF273-AG272,0)</f>
        <v>0</v>
      </c>
      <c r="AH273" s="63">
        <f>IF(AG273-AH272&gt;0,AG273-AH272,0)</f>
        <v>0</v>
      </c>
      <c r="AI273" s="79">
        <f>IF(AH273-AI272&gt;0,AH273-AI272,0)</f>
        <v>0</v>
      </c>
    </row>
    <row r="274" spans="1:36">
      <c r="A274" s="95" t="str">
        <f>AF216</f>
        <v>Anno 28</v>
      </c>
      <c r="B274" s="80" t="str">
        <f>$B266</f>
        <v>Revisione generale</v>
      </c>
      <c r="C274" s="81">
        <f>$C$218</f>
        <v>0</v>
      </c>
      <c r="D274" s="52">
        <f>Ipotesi!AD33</f>
        <v>0</v>
      </c>
      <c r="E274" s="78"/>
      <c r="AC274" s="64"/>
      <c r="AD274" s="64"/>
      <c r="AE274" s="64"/>
      <c r="AF274" s="64">
        <f>IF($D274*$C274&gt;=$D275,$D275,$D274*$C274)</f>
        <v>0</v>
      </c>
      <c r="AG274" s="64">
        <f>IF($D274*$C274&gt;=AF275,AF275,$D274*$C274)</f>
        <v>0</v>
      </c>
      <c r="AH274" s="64">
        <f>IF($D274*$C274&gt;=AG275,AG275,$D274*$C274)</f>
        <v>0</v>
      </c>
      <c r="AI274" s="86">
        <f>IF($D274*$C274&gt;=AH275,AH275,$D274*$C274)</f>
        <v>0</v>
      </c>
    </row>
    <row r="275" spans="1:36">
      <c r="A275" s="60" t="str">
        <f>AF216</f>
        <v>Anno 28</v>
      </c>
      <c r="B275" s="59" t="s">
        <v>61</v>
      </c>
      <c r="C275" s="81"/>
      <c r="D275" s="52">
        <f>D274</f>
        <v>0</v>
      </c>
      <c r="E275" s="78"/>
      <c r="AC275" s="63"/>
      <c r="AD275" s="63"/>
      <c r="AE275" s="63"/>
      <c r="AF275" s="63">
        <f>$D275-AF274</f>
        <v>0</v>
      </c>
      <c r="AG275" s="63">
        <f>IF(AF275-AG274&gt;0,AF275-AG274,0)</f>
        <v>0</v>
      </c>
      <c r="AH275" s="63">
        <f>IF(AG275-AH274&gt;0,AG275-AH274,0)</f>
        <v>0</v>
      </c>
      <c r="AI275" s="79">
        <f>IF(AH275-AI274&gt;0,AH275-AI274,0)</f>
        <v>0</v>
      </c>
    </row>
    <row r="276" spans="1:36">
      <c r="A276" s="95" t="str">
        <f>AG216</f>
        <v>Anno 29</v>
      </c>
      <c r="B276" s="80" t="str">
        <f>$B266</f>
        <v>Revisione generale</v>
      </c>
      <c r="C276" s="81">
        <f>$C$218</f>
        <v>0</v>
      </c>
      <c r="D276" s="52">
        <f>Ipotesi!AE33</f>
        <v>0</v>
      </c>
      <c r="E276" s="78"/>
      <c r="AC276" s="64"/>
      <c r="AD276" s="64"/>
      <c r="AE276" s="64"/>
      <c r="AF276" s="64"/>
      <c r="AG276" s="64">
        <f>IF($D276*$C276&gt;=$D277,$D277,$D276*$C276)</f>
        <v>0</v>
      </c>
      <c r="AH276" s="64">
        <f>IF($D276*$C276&gt;=AG277,AG277,$D276*$C276)</f>
        <v>0</v>
      </c>
      <c r="AI276" s="86">
        <f>IF($D276*$C276&gt;=AH277,AH277,$D276*$C276)</f>
        <v>0</v>
      </c>
    </row>
    <row r="277" spans="1:36">
      <c r="A277" s="60" t="str">
        <f>AG216</f>
        <v>Anno 29</v>
      </c>
      <c r="B277" s="59" t="s">
        <v>61</v>
      </c>
      <c r="C277" s="81"/>
      <c r="D277" s="52">
        <f>D276</f>
        <v>0</v>
      </c>
      <c r="E277" s="78"/>
      <c r="AC277" s="63"/>
      <c r="AD277" s="63"/>
      <c r="AE277" s="63"/>
      <c r="AF277" s="63"/>
      <c r="AG277" s="63">
        <f>$D277-AG276</f>
        <v>0</v>
      </c>
      <c r="AH277" s="63">
        <f>IF(AG277-AH276&gt;0,AG277-AH276,0)</f>
        <v>0</v>
      </c>
      <c r="AI277" s="79">
        <f>IF(AH277-AI276&gt;0,AH277-AI276,0)</f>
        <v>0</v>
      </c>
    </row>
    <row r="278" spans="1:36">
      <c r="A278" s="95" t="str">
        <f>AH216</f>
        <v>Anno 30</v>
      </c>
      <c r="B278" s="80" t="str">
        <f>$B266</f>
        <v>Revisione generale</v>
      </c>
      <c r="C278" s="81">
        <f>$C$218</f>
        <v>0</v>
      </c>
      <c r="D278" s="52">
        <f>Ipotesi!AF33</f>
        <v>0</v>
      </c>
      <c r="E278" s="78"/>
      <c r="AC278" s="64"/>
      <c r="AD278" s="64"/>
      <c r="AE278" s="64"/>
      <c r="AF278" s="64"/>
      <c r="AG278" s="64"/>
      <c r="AH278" s="64">
        <f>IF($D278*$C278&gt;=$D279,$D279,$D278*$C278)</f>
        <v>0</v>
      </c>
      <c r="AI278" s="86">
        <f>IF($D278*$C278&gt;=AH279,AH279,$D278*$C278)</f>
        <v>0</v>
      </c>
    </row>
    <row r="279" spans="1:36">
      <c r="A279" s="60" t="str">
        <f>AH216</f>
        <v>Anno 30</v>
      </c>
      <c r="B279" s="59" t="s">
        <v>61</v>
      </c>
      <c r="C279" s="81"/>
      <c r="D279" s="52">
        <f>D278</f>
        <v>0</v>
      </c>
      <c r="E279" s="78"/>
      <c r="AC279" s="63"/>
      <c r="AD279" s="63"/>
      <c r="AE279" s="63"/>
      <c r="AF279" s="63"/>
      <c r="AG279" s="63"/>
      <c r="AH279" s="63">
        <f>$D279-AH278</f>
        <v>0</v>
      </c>
      <c r="AI279" s="79">
        <f>IF(AH279-AI278&gt;0,AH279-AI278,0)</f>
        <v>0</v>
      </c>
    </row>
    <row r="280" spans="1:36">
      <c r="A280" s="95" t="str">
        <f>AI216</f>
        <v>Anno 31</v>
      </c>
      <c r="B280" s="80" t="str">
        <f>$B266</f>
        <v>Revisione generale</v>
      </c>
      <c r="C280" s="81">
        <f>$C$218</f>
        <v>0</v>
      </c>
      <c r="D280" s="52"/>
      <c r="E280" s="78"/>
      <c r="AC280" s="64"/>
      <c r="AD280" s="64"/>
      <c r="AE280" s="64"/>
      <c r="AF280" s="64"/>
      <c r="AG280" s="64"/>
      <c r="AH280" s="87"/>
      <c r="AI280" s="86">
        <f>IF($D280*$C280&gt;=$D281,$D281,$D280*$C280)</f>
        <v>0</v>
      </c>
    </row>
    <row r="281" spans="1:36">
      <c r="A281" s="60" t="str">
        <f>AI216</f>
        <v>Anno 31</v>
      </c>
      <c r="B281" s="59" t="s">
        <v>61</v>
      </c>
      <c r="C281" s="81"/>
      <c r="D281" s="52">
        <f>D280</f>
        <v>0</v>
      </c>
      <c r="E281" s="89"/>
      <c r="F281" s="90"/>
      <c r="G281" s="90"/>
      <c r="H281" s="90"/>
      <c r="I281" s="90"/>
      <c r="J281" s="91"/>
      <c r="K281" s="91"/>
      <c r="L281" s="91"/>
      <c r="M281" s="91"/>
      <c r="N281" s="91"/>
      <c r="O281" s="91"/>
      <c r="P281" s="91"/>
      <c r="Q281" s="92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  <c r="AC281" s="90"/>
      <c r="AD281" s="90"/>
      <c r="AE281" s="90"/>
      <c r="AF281" s="90"/>
      <c r="AG281" s="90"/>
      <c r="AH281" s="91"/>
      <c r="AI281" s="94">
        <f>$D281-AI280</f>
        <v>0</v>
      </c>
    </row>
    <row r="282" spans="1:36" s="80" customFormat="1">
      <c r="A282" s="95"/>
      <c r="B282" s="96" t="s">
        <v>66</v>
      </c>
      <c r="C282" s="97"/>
      <c r="D282" s="54"/>
      <c r="E282" s="98">
        <f t="shared" ref="E282:AI283" si="217">E218+E220+E222+E224+E226+E228+E230+E232+E234+E236+E238+E240+E242+E244+E246+E248+E250+E252+E254+E256+E258+E260+E262+E264+E266+E268+E270+E272+E274+E276+E278+E280</f>
        <v>0</v>
      </c>
      <c r="F282" s="98">
        <f t="shared" si="217"/>
        <v>0</v>
      </c>
      <c r="G282" s="98">
        <f t="shared" si="217"/>
        <v>0</v>
      </c>
      <c r="H282" s="98">
        <f t="shared" si="217"/>
        <v>0</v>
      </c>
      <c r="I282" s="98">
        <f t="shared" si="217"/>
        <v>0</v>
      </c>
      <c r="J282" s="98">
        <f t="shared" si="217"/>
        <v>0</v>
      </c>
      <c r="K282" s="98">
        <f t="shared" si="217"/>
        <v>0</v>
      </c>
      <c r="L282" s="98">
        <f t="shared" si="217"/>
        <v>0</v>
      </c>
      <c r="M282" s="98">
        <f t="shared" si="217"/>
        <v>0</v>
      </c>
      <c r="N282" s="98">
        <f t="shared" si="217"/>
        <v>0</v>
      </c>
      <c r="O282" s="98">
        <f t="shared" si="217"/>
        <v>0</v>
      </c>
      <c r="P282" s="98">
        <f t="shared" si="217"/>
        <v>0</v>
      </c>
      <c r="Q282" s="98">
        <f t="shared" si="217"/>
        <v>0</v>
      </c>
      <c r="R282" s="98">
        <f t="shared" si="217"/>
        <v>0</v>
      </c>
      <c r="S282" s="98">
        <f t="shared" si="217"/>
        <v>0</v>
      </c>
      <c r="T282" s="98">
        <f t="shared" si="217"/>
        <v>0</v>
      </c>
      <c r="U282" s="98">
        <f t="shared" si="217"/>
        <v>0</v>
      </c>
      <c r="V282" s="98">
        <f t="shared" si="217"/>
        <v>0</v>
      </c>
      <c r="W282" s="98">
        <f t="shared" si="217"/>
        <v>0</v>
      </c>
      <c r="X282" s="98">
        <f t="shared" si="217"/>
        <v>0</v>
      </c>
      <c r="Y282" s="98">
        <f t="shared" si="217"/>
        <v>0</v>
      </c>
      <c r="Z282" s="98">
        <f t="shared" si="217"/>
        <v>0</v>
      </c>
      <c r="AA282" s="98">
        <f t="shared" si="217"/>
        <v>0</v>
      </c>
      <c r="AB282" s="98">
        <f t="shared" si="217"/>
        <v>0</v>
      </c>
      <c r="AC282" s="98">
        <f t="shared" si="217"/>
        <v>0</v>
      </c>
      <c r="AD282" s="98">
        <f t="shared" si="217"/>
        <v>0</v>
      </c>
      <c r="AE282" s="98">
        <f t="shared" si="217"/>
        <v>0</v>
      </c>
      <c r="AF282" s="98">
        <f t="shared" si="217"/>
        <v>0</v>
      </c>
      <c r="AG282" s="98">
        <f t="shared" si="217"/>
        <v>0</v>
      </c>
      <c r="AH282" s="98">
        <f t="shared" si="217"/>
        <v>0</v>
      </c>
      <c r="AI282" s="99">
        <f t="shared" si="217"/>
        <v>0</v>
      </c>
      <c r="AJ282" s="64">
        <f>SUM(E282:AI282)</f>
        <v>0</v>
      </c>
    </row>
    <row r="283" spans="1:36">
      <c r="B283" s="100" t="s">
        <v>67</v>
      </c>
      <c r="C283" s="101"/>
      <c r="D283" s="55"/>
      <c r="E283" s="89">
        <f t="shared" si="217"/>
        <v>0</v>
      </c>
      <c r="F283" s="89">
        <f t="shared" si="217"/>
        <v>0</v>
      </c>
      <c r="G283" s="89">
        <f t="shared" si="217"/>
        <v>0</v>
      </c>
      <c r="H283" s="89">
        <f t="shared" si="217"/>
        <v>0</v>
      </c>
      <c r="I283" s="89">
        <f t="shared" si="217"/>
        <v>0</v>
      </c>
      <c r="J283" s="89">
        <f t="shared" si="217"/>
        <v>0</v>
      </c>
      <c r="K283" s="89">
        <f t="shared" si="217"/>
        <v>0</v>
      </c>
      <c r="L283" s="89">
        <f t="shared" si="217"/>
        <v>0</v>
      </c>
      <c r="M283" s="89">
        <f t="shared" si="217"/>
        <v>0</v>
      </c>
      <c r="N283" s="89">
        <f t="shared" si="217"/>
        <v>0</v>
      </c>
      <c r="O283" s="89">
        <f t="shared" si="217"/>
        <v>0</v>
      </c>
      <c r="P283" s="89">
        <f t="shared" si="217"/>
        <v>0</v>
      </c>
      <c r="Q283" s="89">
        <f t="shared" si="217"/>
        <v>0</v>
      </c>
      <c r="R283" s="89">
        <f t="shared" si="217"/>
        <v>0</v>
      </c>
      <c r="S283" s="89">
        <f t="shared" si="217"/>
        <v>0</v>
      </c>
      <c r="T283" s="89">
        <f t="shared" si="217"/>
        <v>0</v>
      </c>
      <c r="U283" s="89">
        <f t="shared" si="217"/>
        <v>0</v>
      </c>
      <c r="V283" s="89">
        <f t="shared" si="217"/>
        <v>0</v>
      </c>
      <c r="W283" s="89">
        <f t="shared" si="217"/>
        <v>0</v>
      </c>
      <c r="X283" s="89">
        <f t="shared" si="217"/>
        <v>0</v>
      </c>
      <c r="Y283" s="89">
        <f t="shared" si="217"/>
        <v>0</v>
      </c>
      <c r="Z283" s="89">
        <f t="shared" si="217"/>
        <v>0</v>
      </c>
      <c r="AA283" s="89">
        <f t="shared" si="217"/>
        <v>0</v>
      </c>
      <c r="AB283" s="89">
        <f t="shared" si="217"/>
        <v>0</v>
      </c>
      <c r="AC283" s="89">
        <f t="shared" si="217"/>
        <v>0</v>
      </c>
      <c r="AD283" s="89">
        <f t="shared" si="217"/>
        <v>0</v>
      </c>
      <c r="AE283" s="89">
        <f t="shared" si="217"/>
        <v>0</v>
      </c>
      <c r="AF283" s="89">
        <f t="shared" si="217"/>
        <v>0</v>
      </c>
      <c r="AG283" s="89">
        <f t="shared" si="217"/>
        <v>0</v>
      </c>
      <c r="AH283" s="89">
        <f t="shared" si="217"/>
        <v>0</v>
      </c>
      <c r="AI283" s="102">
        <f t="shared" si="217"/>
        <v>0</v>
      </c>
    </row>
    <row r="284" spans="1:36" s="80" customFormat="1">
      <c r="A284" s="95"/>
      <c r="B284" s="96" t="s">
        <v>70</v>
      </c>
      <c r="C284" s="97"/>
      <c r="D284" s="56"/>
      <c r="E284" s="103">
        <f>D220</f>
        <v>0</v>
      </c>
      <c r="F284" s="103">
        <f>D222</f>
        <v>0</v>
      </c>
      <c r="G284" s="103">
        <f>D224</f>
        <v>0</v>
      </c>
      <c r="H284" s="103">
        <f>D226</f>
        <v>0</v>
      </c>
      <c r="I284" s="103">
        <f>D228</f>
        <v>0</v>
      </c>
      <c r="J284" s="104">
        <f>$D230</f>
        <v>0</v>
      </c>
      <c r="K284" s="104">
        <f>$D232</f>
        <v>0</v>
      </c>
      <c r="L284" s="104">
        <f>$D234</f>
        <v>0</v>
      </c>
      <c r="M284" s="104">
        <f>$D236</f>
        <v>0</v>
      </c>
      <c r="N284" s="104">
        <f>$D238</f>
        <v>0</v>
      </c>
      <c r="O284" s="104">
        <f>$D240</f>
        <v>0</v>
      </c>
      <c r="P284" s="104">
        <f>$D242</f>
        <v>0</v>
      </c>
      <c r="Q284" s="104">
        <f>$D244</f>
        <v>0</v>
      </c>
      <c r="R284" s="104">
        <f>$D246</f>
        <v>0</v>
      </c>
      <c r="S284" s="104">
        <f>$D248</f>
        <v>0</v>
      </c>
      <c r="T284" s="104">
        <f>$D250</f>
        <v>0</v>
      </c>
      <c r="U284" s="104">
        <f>$D252</f>
        <v>0</v>
      </c>
      <c r="V284" s="104">
        <f>$D254</f>
        <v>0</v>
      </c>
      <c r="W284" s="104">
        <f>$D256</f>
        <v>0</v>
      </c>
      <c r="X284" s="104">
        <f>$D258</f>
        <v>0</v>
      </c>
      <c r="Y284" s="104">
        <f>$D260</f>
        <v>0</v>
      </c>
      <c r="Z284" s="104">
        <f>$D262</f>
        <v>0</v>
      </c>
      <c r="AA284" s="104">
        <f>$D264</f>
        <v>0</v>
      </c>
      <c r="AB284" s="104">
        <f>$D266</f>
        <v>0</v>
      </c>
      <c r="AC284" s="104">
        <f>$D268</f>
        <v>0</v>
      </c>
      <c r="AD284" s="104">
        <f>$D270</f>
        <v>0</v>
      </c>
      <c r="AE284" s="104">
        <f>$D272</f>
        <v>0</v>
      </c>
      <c r="AF284" s="104">
        <f>$D274</f>
        <v>0</v>
      </c>
      <c r="AG284" s="104">
        <f>$D276</f>
        <v>0</v>
      </c>
      <c r="AH284" s="104">
        <f>$D278</f>
        <v>0</v>
      </c>
      <c r="AI284" s="104">
        <f>$D280</f>
        <v>0</v>
      </c>
      <c r="AJ284" s="64">
        <f>SUM(E284:AI284)</f>
        <v>0</v>
      </c>
    </row>
    <row r="285" spans="1:36">
      <c r="B285" s="105" t="s">
        <v>71</v>
      </c>
      <c r="C285" s="106"/>
      <c r="D285" s="57"/>
      <c r="E285" s="107">
        <f>E284</f>
        <v>0</v>
      </c>
      <c r="F285" s="107">
        <f t="shared" ref="F285:AI285" si="218">E285+F284</f>
        <v>0</v>
      </c>
      <c r="G285" s="107">
        <f t="shared" si="218"/>
        <v>0</v>
      </c>
      <c r="H285" s="107">
        <f t="shared" si="218"/>
        <v>0</v>
      </c>
      <c r="I285" s="107">
        <f t="shared" si="218"/>
        <v>0</v>
      </c>
      <c r="J285" s="107">
        <f t="shared" si="218"/>
        <v>0</v>
      </c>
      <c r="K285" s="107">
        <f t="shared" si="218"/>
        <v>0</v>
      </c>
      <c r="L285" s="107">
        <f t="shared" si="218"/>
        <v>0</v>
      </c>
      <c r="M285" s="107">
        <f t="shared" si="218"/>
        <v>0</v>
      </c>
      <c r="N285" s="107">
        <f t="shared" si="218"/>
        <v>0</v>
      </c>
      <c r="O285" s="107">
        <f t="shared" si="218"/>
        <v>0</v>
      </c>
      <c r="P285" s="107">
        <f t="shared" si="218"/>
        <v>0</v>
      </c>
      <c r="Q285" s="107">
        <f t="shared" si="218"/>
        <v>0</v>
      </c>
      <c r="R285" s="107">
        <f t="shared" si="218"/>
        <v>0</v>
      </c>
      <c r="S285" s="107">
        <f t="shared" si="218"/>
        <v>0</v>
      </c>
      <c r="T285" s="107">
        <f t="shared" si="218"/>
        <v>0</v>
      </c>
      <c r="U285" s="107">
        <f t="shared" si="218"/>
        <v>0</v>
      </c>
      <c r="V285" s="107">
        <f t="shared" si="218"/>
        <v>0</v>
      </c>
      <c r="W285" s="107">
        <f t="shared" si="218"/>
        <v>0</v>
      </c>
      <c r="X285" s="107">
        <f t="shared" si="218"/>
        <v>0</v>
      </c>
      <c r="Y285" s="107">
        <f t="shared" si="218"/>
        <v>0</v>
      </c>
      <c r="Z285" s="107">
        <f t="shared" si="218"/>
        <v>0</v>
      </c>
      <c r="AA285" s="107">
        <f t="shared" si="218"/>
        <v>0</v>
      </c>
      <c r="AB285" s="107">
        <f t="shared" si="218"/>
        <v>0</v>
      </c>
      <c r="AC285" s="107">
        <f t="shared" si="218"/>
        <v>0</v>
      </c>
      <c r="AD285" s="107">
        <f t="shared" si="218"/>
        <v>0</v>
      </c>
      <c r="AE285" s="107">
        <f t="shared" si="218"/>
        <v>0</v>
      </c>
      <c r="AF285" s="107">
        <f t="shared" si="218"/>
        <v>0</v>
      </c>
      <c r="AG285" s="107">
        <f t="shared" si="218"/>
        <v>0</v>
      </c>
      <c r="AH285" s="107">
        <f t="shared" si="218"/>
        <v>0</v>
      </c>
      <c r="AI285" s="107">
        <f t="shared" si="218"/>
        <v>0</v>
      </c>
    </row>
    <row r="287" spans="1:36" ht="30">
      <c r="A287" s="68"/>
      <c r="B287" s="69" t="s">
        <v>143</v>
      </c>
      <c r="C287" s="49" t="s">
        <v>64</v>
      </c>
      <c r="D287" s="50" t="s">
        <v>65</v>
      </c>
      <c r="E287" s="51" t="str">
        <f>E3</f>
        <v>Anno 1</v>
      </c>
      <c r="F287" s="51" t="str">
        <f t="shared" ref="F287:AI287" si="219">F3</f>
        <v>Anno 2</v>
      </c>
      <c r="G287" s="51" t="str">
        <f t="shared" si="219"/>
        <v>Anno 3</v>
      </c>
      <c r="H287" s="51" t="str">
        <f t="shared" si="219"/>
        <v>Anno 4</v>
      </c>
      <c r="I287" s="51" t="str">
        <f t="shared" si="219"/>
        <v>Anno 5</v>
      </c>
      <c r="J287" s="51" t="str">
        <f t="shared" si="219"/>
        <v>Anno 6</v>
      </c>
      <c r="K287" s="51" t="str">
        <f t="shared" si="219"/>
        <v>Anno 7</v>
      </c>
      <c r="L287" s="51" t="str">
        <f t="shared" si="219"/>
        <v>Anno 8</v>
      </c>
      <c r="M287" s="51" t="str">
        <f t="shared" si="219"/>
        <v>Anno 9</v>
      </c>
      <c r="N287" s="51" t="str">
        <f t="shared" si="219"/>
        <v>Anno 10</v>
      </c>
      <c r="O287" s="51" t="str">
        <f t="shared" si="219"/>
        <v>Anno 11</v>
      </c>
      <c r="P287" s="51" t="str">
        <f t="shared" si="219"/>
        <v>Anno 12</v>
      </c>
      <c r="Q287" s="51" t="str">
        <f t="shared" si="219"/>
        <v>Anno 13</v>
      </c>
      <c r="R287" s="51" t="str">
        <f t="shared" si="219"/>
        <v>Anno 14</v>
      </c>
      <c r="S287" s="51" t="str">
        <f t="shared" si="219"/>
        <v>Anno 15</v>
      </c>
      <c r="T287" s="51" t="str">
        <f t="shared" si="219"/>
        <v>Anno 16</v>
      </c>
      <c r="U287" s="51" t="str">
        <f t="shared" si="219"/>
        <v>Anno 17</v>
      </c>
      <c r="V287" s="51" t="str">
        <f t="shared" si="219"/>
        <v>Anno 18</v>
      </c>
      <c r="W287" s="51" t="str">
        <f t="shared" si="219"/>
        <v>Anno 19</v>
      </c>
      <c r="X287" s="51" t="str">
        <f t="shared" si="219"/>
        <v>Anno 20</v>
      </c>
      <c r="Y287" s="51" t="str">
        <f t="shared" si="219"/>
        <v>Anno 21</v>
      </c>
      <c r="Z287" s="51" t="str">
        <f t="shared" si="219"/>
        <v>Anno 22</v>
      </c>
      <c r="AA287" s="51" t="str">
        <f t="shared" si="219"/>
        <v>Anno 23</v>
      </c>
      <c r="AB287" s="51" t="str">
        <f t="shared" si="219"/>
        <v>Anno 24</v>
      </c>
      <c r="AC287" s="51" t="str">
        <f t="shared" si="219"/>
        <v>Anno 25</v>
      </c>
      <c r="AD287" s="51" t="str">
        <f t="shared" si="219"/>
        <v>Anno 26</v>
      </c>
      <c r="AE287" s="51" t="str">
        <f t="shared" si="219"/>
        <v>Anno 27</v>
      </c>
      <c r="AF287" s="51" t="str">
        <f t="shared" si="219"/>
        <v>Anno 28</v>
      </c>
      <c r="AG287" s="51" t="str">
        <f t="shared" si="219"/>
        <v>Anno 29</v>
      </c>
      <c r="AH287" s="51" t="str">
        <f t="shared" si="219"/>
        <v>Anno 30</v>
      </c>
      <c r="AI287" s="51" t="str">
        <f t="shared" si="219"/>
        <v>Anno 31</v>
      </c>
    </row>
    <row r="288" spans="1:36" ht="4.5" customHeight="1">
      <c r="AI288" s="70"/>
    </row>
    <row r="289" spans="1:160">
      <c r="B289" s="71" t="str">
        <f>+Ipotesi!$A$34</f>
        <v>Revisione speciale</v>
      </c>
      <c r="C289" s="72">
        <f>Ipotesi!$C$45</f>
        <v>0</v>
      </c>
      <c r="D289" s="73"/>
      <c r="E289" s="74">
        <f t="shared" ref="E289:AI289" si="220">IF($D289*$C289&gt;=D290,D290,$D289*$C289)</f>
        <v>0</v>
      </c>
      <c r="F289" s="75">
        <f t="shared" si="220"/>
        <v>0</v>
      </c>
      <c r="G289" s="75">
        <f t="shared" si="220"/>
        <v>0</v>
      </c>
      <c r="H289" s="75">
        <f t="shared" si="220"/>
        <v>0</v>
      </c>
      <c r="I289" s="75">
        <f t="shared" si="220"/>
        <v>0</v>
      </c>
      <c r="J289" s="75">
        <f t="shared" si="220"/>
        <v>0</v>
      </c>
      <c r="K289" s="75">
        <f t="shared" si="220"/>
        <v>0</v>
      </c>
      <c r="L289" s="75">
        <f t="shared" si="220"/>
        <v>0</v>
      </c>
      <c r="M289" s="75">
        <f t="shared" si="220"/>
        <v>0</v>
      </c>
      <c r="N289" s="75">
        <f t="shared" si="220"/>
        <v>0</v>
      </c>
      <c r="O289" s="75">
        <f t="shared" si="220"/>
        <v>0</v>
      </c>
      <c r="P289" s="75">
        <f t="shared" si="220"/>
        <v>0</v>
      </c>
      <c r="Q289" s="75">
        <f t="shared" si="220"/>
        <v>0</v>
      </c>
      <c r="R289" s="75">
        <f t="shared" si="220"/>
        <v>0</v>
      </c>
      <c r="S289" s="75">
        <f t="shared" si="220"/>
        <v>0</v>
      </c>
      <c r="T289" s="75">
        <f t="shared" si="220"/>
        <v>0</v>
      </c>
      <c r="U289" s="75">
        <f t="shared" si="220"/>
        <v>0</v>
      </c>
      <c r="V289" s="75">
        <f t="shared" si="220"/>
        <v>0</v>
      </c>
      <c r="W289" s="75">
        <f t="shared" si="220"/>
        <v>0</v>
      </c>
      <c r="X289" s="75">
        <f t="shared" si="220"/>
        <v>0</v>
      </c>
      <c r="Y289" s="75">
        <f t="shared" si="220"/>
        <v>0</v>
      </c>
      <c r="Z289" s="75">
        <f t="shared" si="220"/>
        <v>0</v>
      </c>
      <c r="AA289" s="75">
        <f t="shared" si="220"/>
        <v>0</v>
      </c>
      <c r="AB289" s="75">
        <f t="shared" si="220"/>
        <v>0</v>
      </c>
      <c r="AC289" s="75">
        <f t="shared" si="220"/>
        <v>0</v>
      </c>
      <c r="AD289" s="75">
        <f t="shared" si="220"/>
        <v>0</v>
      </c>
      <c r="AE289" s="75">
        <f t="shared" si="220"/>
        <v>0</v>
      </c>
      <c r="AF289" s="75">
        <f t="shared" si="220"/>
        <v>0</v>
      </c>
      <c r="AG289" s="75">
        <f t="shared" si="220"/>
        <v>0</v>
      </c>
      <c r="AH289" s="75">
        <f t="shared" si="220"/>
        <v>0</v>
      </c>
      <c r="AI289" s="76">
        <f t="shared" si="220"/>
        <v>0</v>
      </c>
    </row>
    <row r="290" spans="1:160">
      <c r="B290" s="71" t="s">
        <v>61</v>
      </c>
      <c r="C290" s="72"/>
      <c r="D290" s="77"/>
      <c r="E290" s="78">
        <f>D290-E289</f>
        <v>0</v>
      </c>
      <c r="F290" s="63">
        <f t="shared" ref="F290:AI290" si="221">IF(E290-F289&gt;0,E290-F289,0)</f>
        <v>0</v>
      </c>
      <c r="G290" s="63">
        <f t="shared" si="221"/>
        <v>0</v>
      </c>
      <c r="H290" s="63">
        <f t="shared" si="221"/>
        <v>0</v>
      </c>
      <c r="I290" s="63">
        <f t="shared" si="221"/>
        <v>0</v>
      </c>
      <c r="J290" s="63">
        <f t="shared" si="221"/>
        <v>0</v>
      </c>
      <c r="K290" s="63">
        <f t="shared" si="221"/>
        <v>0</v>
      </c>
      <c r="L290" s="63">
        <f t="shared" si="221"/>
        <v>0</v>
      </c>
      <c r="M290" s="63">
        <f t="shared" si="221"/>
        <v>0</v>
      </c>
      <c r="N290" s="63">
        <f t="shared" si="221"/>
        <v>0</v>
      </c>
      <c r="O290" s="63">
        <f t="shared" si="221"/>
        <v>0</v>
      </c>
      <c r="P290" s="63">
        <f t="shared" si="221"/>
        <v>0</v>
      </c>
      <c r="Q290" s="63">
        <f t="shared" si="221"/>
        <v>0</v>
      </c>
      <c r="R290" s="63">
        <f t="shared" si="221"/>
        <v>0</v>
      </c>
      <c r="S290" s="63">
        <f t="shared" si="221"/>
        <v>0</v>
      </c>
      <c r="T290" s="63">
        <f t="shared" si="221"/>
        <v>0</v>
      </c>
      <c r="U290" s="63">
        <f t="shared" si="221"/>
        <v>0</v>
      </c>
      <c r="V290" s="63">
        <f t="shared" si="221"/>
        <v>0</v>
      </c>
      <c r="W290" s="63">
        <f t="shared" si="221"/>
        <v>0</v>
      </c>
      <c r="X290" s="63">
        <f t="shared" si="221"/>
        <v>0</v>
      </c>
      <c r="Y290" s="63">
        <f t="shared" si="221"/>
        <v>0</v>
      </c>
      <c r="Z290" s="63">
        <f t="shared" si="221"/>
        <v>0</v>
      </c>
      <c r="AA290" s="63">
        <f t="shared" si="221"/>
        <v>0</v>
      </c>
      <c r="AB290" s="63">
        <f t="shared" si="221"/>
        <v>0</v>
      </c>
      <c r="AC290" s="63">
        <f t="shared" si="221"/>
        <v>0</v>
      </c>
      <c r="AD290" s="63">
        <f t="shared" si="221"/>
        <v>0</v>
      </c>
      <c r="AE290" s="63">
        <f t="shared" si="221"/>
        <v>0</v>
      </c>
      <c r="AF290" s="63">
        <f t="shared" si="221"/>
        <v>0</v>
      </c>
      <c r="AG290" s="63">
        <f t="shared" si="221"/>
        <v>0</v>
      </c>
      <c r="AH290" s="63">
        <f t="shared" si="221"/>
        <v>0</v>
      </c>
      <c r="AI290" s="79">
        <f t="shared" si="221"/>
        <v>0</v>
      </c>
    </row>
    <row r="291" spans="1:160" s="80" customFormat="1">
      <c r="A291" s="95" t="str">
        <f>E287</f>
        <v>Anno 1</v>
      </c>
      <c r="B291" s="80" t="str">
        <f>$B289</f>
        <v>Revisione speciale</v>
      </c>
      <c r="C291" s="81">
        <f>$C$289</f>
        <v>0</v>
      </c>
      <c r="D291" s="52">
        <f>Ipotesi!C34</f>
        <v>0</v>
      </c>
      <c r="E291" s="82">
        <f t="shared" ref="E291:AI291" si="222">IF($D291*$C291&gt;=D292,D292,$D291*$C291)</f>
        <v>0</v>
      </c>
      <c r="F291" s="83">
        <f t="shared" si="222"/>
        <v>0</v>
      </c>
      <c r="G291" s="83">
        <f t="shared" si="222"/>
        <v>0</v>
      </c>
      <c r="H291" s="83">
        <f t="shared" si="222"/>
        <v>0</v>
      </c>
      <c r="I291" s="83">
        <f t="shared" si="222"/>
        <v>0</v>
      </c>
      <c r="J291" s="83">
        <f t="shared" si="222"/>
        <v>0</v>
      </c>
      <c r="K291" s="83">
        <f t="shared" si="222"/>
        <v>0</v>
      </c>
      <c r="L291" s="83">
        <f t="shared" si="222"/>
        <v>0</v>
      </c>
      <c r="M291" s="83">
        <f t="shared" si="222"/>
        <v>0</v>
      </c>
      <c r="N291" s="83">
        <f t="shared" si="222"/>
        <v>0</v>
      </c>
      <c r="O291" s="83">
        <f t="shared" si="222"/>
        <v>0</v>
      </c>
      <c r="P291" s="83">
        <f t="shared" si="222"/>
        <v>0</v>
      </c>
      <c r="Q291" s="83">
        <f t="shared" si="222"/>
        <v>0</v>
      </c>
      <c r="R291" s="83">
        <f t="shared" si="222"/>
        <v>0</v>
      </c>
      <c r="S291" s="83">
        <f t="shared" si="222"/>
        <v>0</v>
      </c>
      <c r="T291" s="83">
        <f t="shared" si="222"/>
        <v>0</v>
      </c>
      <c r="U291" s="83">
        <f t="shared" si="222"/>
        <v>0</v>
      </c>
      <c r="V291" s="83">
        <f t="shared" si="222"/>
        <v>0</v>
      </c>
      <c r="W291" s="83">
        <f t="shared" si="222"/>
        <v>0</v>
      </c>
      <c r="X291" s="83">
        <f t="shared" si="222"/>
        <v>0</v>
      </c>
      <c r="Y291" s="83">
        <f t="shared" si="222"/>
        <v>0</v>
      </c>
      <c r="Z291" s="83">
        <f t="shared" si="222"/>
        <v>0</v>
      </c>
      <c r="AA291" s="83">
        <f t="shared" si="222"/>
        <v>0</v>
      </c>
      <c r="AB291" s="83">
        <f t="shared" si="222"/>
        <v>0</v>
      </c>
      <c r="AC291" s="83">
        <f t="shared" si="222"/>
        <v>0</v>
      </c>
      <c r="AD291" s="83">
        <f t="shared" si="222"/>
        <v>0</v>
      </c>
      <c r="AE291" s="83">
        <f t="shared" si="222"/>
        <v>0</v>
      </c>
      <c r="AF291" s="83">
        <f t="shared" si="222"/>
        <v>0</v>
      </c>
      <c r="AG291" s="83">
        <f t="shared" si="222"/>
        <v>0</v>
      </c>
      <c r="AH291" s="83">
        <f t="shared" si="222"/>
        <v>0</v>
      </c>
      <c r="AI291" s="84">
        <f t="shared" si="222"/>
        <v>0</v>
      </c>
      <c r="FD291" s="59"/>
    </row>
    <row r="292" spans="1:160">
      <c r="A292" s="60" t="str">
        <f>E287</f>
        <v>Anno 1</v>
      </c>
      <c r="B292" s="59" t="s">
        <v>61</v>
      </c>
      <c r="C292" s="81"/>
      <c r="D292" s="52">
        <f>D291</f>
        <v>0</v>
      </c>
      <c r="E292" s="78">
        <f>$D292-E291</f>
        <v>0</v>
      </c>
      <c r="F292" s="63">
        <f t="shared" ref="F292:AI292" si="223">IF(E292-F291&gt;0,E292-F291,0)</f>
        <v>0</v>
      </c>
      <c r="G292" s="63">
        <f t="shared" si="223"/>
        <v>0</v>
      </c>
      <c r="H292" s="63">
        <f t="shared" si="223"/>
        <v>0</v>
      </c>
      <c r="I292" s="63">
        <f t="shared" si="223"/>
        <v>0</v>
      </c>
      <c r="J292" s="63">
        <f t="shared" si="223"/>
        <v>0</v>
      </c>
      <c r="K292" s="63">
        <f t="shared" si="223"/>
        <v>0</v>
      </c>
      <c r="L292" s="63">
        <f t="shared" si="223"/>
        <v>0</v>
      </c>
      <c r="M292" s="63">
        <f t="shared" si="223"/>
        <v>0</v>
      </c>
      <c r="N292" s="63">
        <f t="shared" si="223"/>
        <v>0</v>
      </c>
      <c r="O292" s="63">
        <f t="shared" si="223"/>
        <v>0</v>
      </c>
      <c r="P292" s="63">
        <f t="shared" si="223"/>
        <v>0</v>
      </c>
      <c r="Q292" s="63">
        <f t="shared" si="223"/>
        <v>0</v>
      </c>
      <c r="R292" s="63">
        <f t="shared" si="223"/>
        <v>0</v>
      </c>
      <c r="S292" s="63">
        <f t="shared" si="223"/>
        <v>0</v>
      </c>
      <c r="T292" s="63">
        <f t="shared" si="223"/>
        <v>0</v>
      </c>
      <c r="U292" s="63">
        <f t="shared" si="223"/>
        <v>0</v>
      </c>
      <c r="V292" s="63">
        <f t="shared" si="223"/>
        <v>0</v>
      </c>
      <c r="W292" s="63">
        <f t="shared" si="223"/>
        <v>0</v>
      </c>
      <c r="X292" s="63">
        <f t="shared" si="223"/>
        <v>0</v>
      </c>
      <c r="Y292" s="63">
        <f t="shared" si="223"/>
        <v>0</v>
      </c>
      <c r="Z292" s="63">
        <f t="shared" si="223"/>
        <v>0</v>
      </c>
      <c r="AA292" s="63">
        <f t="shared" si="223"/>
        <v>0</v>
      </c>
      <c r="AB292" s="63">
        <f t="shared" si="223"/>
        <v>0</v>
      </c>
      <c r="AC292" s="63">
        <f t="shared" si="223"/>
        <v>0</v>
      </c>
      <c r="AD292" s="63">
        <f t="shared" si="223"/>
        <v>0</v>
      </c>
      <c r="AE292" s="63">
        <f t="shared" si="223"/>
        <v>0</v>
      </c>
      <c r="AF292" s="63">
        <f t="shared" si="223"/>
        <v>0</v>
      </c>
      <c r="AG292" s="63">
        <f t="shared" si="223"/>
        <v>0</v>
      </c>
      <c r="AH292" s="63">
        <f t="shared" si="223"/>
        <v>0</v>
      </c>
      <c r="AI292" s="79">
        <f t="shared" si="223"/>
        <v>0</v>
      </c>
    </row>
    <row r="293" spans="1:160" s="80" customFormat="1">
      <c r="A293" s="95" t="str">
        <f>F287</f>
        <v>Anno 2</v>
      </c>
      <c r="B293" s="80" t="str">
        <f>$B289</f>
        <v>Revisione speciale</v>
      </c>
      <c r="C293" s="81">
        <f>$C$289</f>
        <v>0</v>
      </c>
      <c r="D293" s="52">
        <f>Ipotesi!D34</f>
        <v>0</v>
      </c>
      <c r="E293" s="85"/>
      <c r="F293" s="64">
        <f>IF($D293*$C293&gt;=$D294,$D294,$D293*$C293)</f>
        <v>0</v>
      </c>
      <c r="G293" s="64">
        <f t="shared" ref="G293:AI293" si="224">IF($D293*$C293&gt;=F294,F294,$D293*$C293)</f>
        <v>0</v>
      </c>
      <c r="H293" s="64">
        <f t="shared" si="224"/>
        <v>0</v>
      </c>
      <c r="I293" s="64">
        <f t="shared" si="224"/>
        <v>0</v>
      </c>
      <c r="J293" s="64">
        <f t="shared" si="224"/>
        <v>0</v>
      </c>
      <c r="K293" s="64">
        <f t="shared" si="224"/>
        <v>0</v>
      </c>
      <c r="L293" s="64">
        <f t="shared" si="224"/>
        <v>0</v>
      </c>
      <c r="M293" s="64">
        <f t="shared" si="224"/>
        <v>0</v>
      </c>
      <c r="N293" s="64">
        <f t="shared" si="224"/>
        <v>0</v>
      </c>
      <c r="O293" s="64">
        <f t="shared" si="224"/>
        <v>0</v>
      </c>
      <c r="P293" s="64">
        <f t="shared" si="224"/>
        <v>0</v>
      </c>
      <c r="Q293" s="64">
        <f t="shared" si="224"/>
        <v>0</v>
      </c>
      <c r="R293" s="64">
        <f t="shared" si="224"/>
        <v>0</v>
      </c>
      <c r="S293" s="64">
        <f t="shared" si="224"/>
        <v>0</v>
      </c>
      <c r="T293" s="64">
        <f t="shared" si="224"/>
        <v>0</v>
      </c>
      <c r="U293" s="64">
        <f t="shared" si="224"/>
        <v>0</v>
      </c>
      <c r="V293" s="64">
        <f t="shared" si="224"/>
        <v>0</v>
      </c>
      <c r="W293" s="64">
        <f t="shared" si="224"/>
        <v>0</v>
      </c>
      <c r="X293" s="64">
        <f t="shared" si="224"/>
        <v>0</v>
      </c>
      <c r="Y293" s="64">
        <f t="shared" si="224"/>
        <v>0</v>
      </c>
      <c r="Z293" s="64">
        <f t="shared" si="224"/>
        <v>0</v>
      </c>
      <c r="AA293" s="64">
        <f t="shared" si="224"/>
        <v>0</v>
      </c>
      <c r="AB293" s="64">
        <f t="shared" si="224"/>
        <v>0</v>
      </c>
      <c r="AC293" s="64">
        <f t="shared" si="224"/>
        <v>0</v>
      </c>
      <c r="AD293" s="64">
        <f t="shared" si="224"/>
        <v>0</v>
      </c>
      <c r="AE293" s="64">
        <f t="shared" si="224"/>
        <v>0</v>
      </c>
      <c r="AF293" s="64">
        <f t="shared" si="224"/>
        <v>0</v>
      </c>
      <c r="AG293" s="64">
        <f t="shared" si="224"/>
        <v>0</v>
      </c>
      <c r="AH293" s="64">
        <f t="shared" si="224"/>
        <v>0</v>
      </c>
      <c r="AI293" s="86">
        <f t="shared" si="224"/>
        <v>0</v>
      </c>
      <c r="FD293" s="59"/>
    </row>
    <row r="294" spans="1:160">
      <c r="A294" s="60" t="str">
        <f>F287</f>
        <v>Anno 2</v>
      </c>
      <c r="B294" s="59" t="s">
        <v>61</v>
      </c>
      <c r="C294" s="81"/>
      <c r="D294" s="52">
        <f>D293</f>
        <v>0</v>
      </c>
      <c r="E294" s="78"/>
      <c r="F294" s="63">
        <f>$D294-F293</f>
        <v>0</v>
      </c>
      <c r="G294" s="63">
        <f t="shared" ref="G294:AI294" si="225">IF(F294-G293&gt;0,F294-G293,0)</f>
        <v>0</v>
      </c>
      <c r="H294" s="63">
        <f t="shared" si="225"/>
        <v>0</v>
      </c>
      <c r="I294" s="63">
        <f t="shared" si="225"/>
        <v>0</v>
      </c>
      <c r="J294" s="63">
        <f t="shared" si="225"/>
        <v>0</v>
      </c>
      <c r="K294" s="63">
        <f t="shared" si="225"/>
        <v>0</v>
      </c>
      <c r="L294" s="63">
        <f t="shared" si="225"/>
        <v>0</v>
      </c>
      <c r="M294" s="63">
        <f t="shared" si="225"/>
        <v>0</v>
      </c>
      <c r="N294" s="63">
        <f t="shared" si="225"/>
        <v>0</v>
      </c>
      <c r="O294" s="63">
        <f t="shared" si="225"/>
        <v>0</v>
      </c>
      <c r="P294" s="63">
        <f t="shared" si="225"/>
        <v>0</v>
      </c>
      <c r="Q294" s="63">
        <f t="shared" si="225"/>
        <v>0</v>
      </c>
      <c r="R294" s="63">
        <f t="shared" si="225"/>
        <v>0</v>
      </c>
      <c r="S294" s="63">
        <f t="shared" si="225"/>
        <v>0</v>
      </c>
      <c r="T294" s="63">
        <f t="shared" si="225"/>
        <v>0</v>
      </c>
      <c r="U294" s="63">
        <f t="shared" si="225"/>
        <v>0</v>
      </c>
      <c r="V294" s="63">
        <f t="shared" si="225"/>
        <v>0</v>
      </c>
      <c r="W294" s="63">
        <f t="shared" si="225"/>
        <v>0</v>
      </c>
      <c r="X294" s="63">
        <f t="shared" si="225"/>
        <v>0</v>
      </c>
      <c r="Y294" s="63">
        <f t="shared" si="225"/>
        <v>0</v>
      </c>
      <c r="Z294" s="63">
        <f t="shared" si="225"/>
        <v>0</v>
      </c>
      <c r="AA294" s="63">
        <f t="shared" si="225"/>
        <v>0</v>
      </c>
      <c r="AB294" s="63">
        <f t="shared" si="225"/>
        <v>0</v>
      </c>
      <c r="AC294" s="63">
        <f t="shared" si="225"/>
        <v>0</v>
      </c>
      <c r="AD294" s="63">
        <f t="shared" si="225"/>
        <v>0</v>
      </c>
      <c r="AE294" s="63">
        <f t="shared" si="225"/>
        <v>0</v>
      </c>
      <c r="AF294" s="63">
        <f t="shared" si="225"/>
        <v>0</v>
      </c>
      <c r="AG294" s="63">
        <f t="shared" si="225"/>
        <v>0</v>
      </c>
      <c r="AH294" s="63">
        <f t="shared" si="225"/>
        <v>0</v>
      </c>
      <c r="AI294" s="79">
        <f t="shared" si="225"/>
        <v>0</v>
      </c>
    </row>
    <row r="295" spans="1:160" s="80" customFormat="1">
      <c r="A295" s="95" t="str">
        <f>G287</f>
        <v>Anno 3</v>
      </c>
      <c r="B295" s="80" t="str">
        <f>$B289</f>
        <v>Revisione speciale</v>
      </c>
      <c r="C295" s="81">
        <f>$C$289</f>
        <v>0</v>
      </c>
      <c r="D295" s="52">
        <f>Ipotesi!E34</f>
        <v>0</v>
      </c>
      <c r="E295" s="85"/>
      <c r="F295" s="64"/>
      <c r="G295" s="64">
        <f>IF($D295*$C295&gt;=$D296,$D296,$D295*$C295)</f>
        <v>0</v>
      </c>
      <c r="H295" s="64">
        <f t="shared" ref="H295:AI295" si="226">IF($D295*$C295&gt;=G296,G296,$D295*$C295)</f>
        <v>0</v>
      </c>
      <c r="I295" s="64">
        <f t="shared" si="226"/>
        <v>0</v>
      </c>
      <c r="J295" s="64">
        <f t="shared" si="226"/>
        <v>0</v>
      </c>
      <c r="K295" s="64">
        <f t="shared" si="226"/>
        <v>0</v>
      </c>
      <c r="L295" s="64">
        <f t="shared" si="226"/>
        <v>0</v>
      </c>
      <c r="M295" s="64">
        <f t="shared" si="226"/>
        <v>0</v>
      </c>
      <c r="N295" s="64">
        <f t="shared" si="226"/>
        <v>0</v>
      </c>
      <c r="O295" s="64">
        <f t="shared" si="226"/>
        <v>0</v>
      </c>
      <c r="P295" s="64">
        <f t="shared" si="226"/>
        <v>0</v>
      </c>
      <c r="Q295" s="64">
        <f t="shared" si="226"/>
        <v>0</v>
      </c>
      <c r="R295" s="64">
        <f t="shared" si="226"/>
        <v>0</v>
      </c>
      <c r="S295" s="64">
        <f t="shared" si="226"/>
        <v>0</v>
      </c>
      <c r="T295" s="64">
        <f t="shared" si="226"/>
        <v>0</v>
      </c>
      <c r="U295" s="64">
        <f t="shared" si="226"/>
        <v>0</v>
      </c>
      <c r="V295" s="64">
        <f t="shared" si="226"/>
        <v>0</v>
      </c>
      <c r="W295" s="64">
        <f t="shared" si="226"/>
        <v>0</v>
      </c>
      <c r="X295" s="64">
        <f t="shared" si="226"/>
        <v>0</v>
      </c>
      <c r="Y295" s="64">
        <f t="shared" si="226"/>
        <v>0</v>
      </c>
      <c r="Z295" s="64">
        <f t="shared" si="226"/>
        <v>0</v>
      </c>
      <c r="AA295" s="64">
        <f t="shared" si="226"/>
        <v>0</v>
      </c>
      <c r="AB295" s="64">
        <f t="shared" si="226"/>
        <v>0</v>
      </c>
      <c r="AC295" s="64">
        <f t="shared" si="226"/>
        <v>0</v>
      </c>
      <c r="AD295" s="64">
        <f t="shared" si="226"/>
        <v>0</v>
      </c>
      <c r="AE295" s="64">
        <f t="shared" si="226"/>
        <v>0</v>
      </c>
      <c r="AF295" s="64">
        <f t="shared" si="226"/>
        <v>0</v>
      </c>
      <c r="AG295" s="64">
        <f t="shared" si="226"/>
        <v>0</v>
      </c>
      <c r="AH295" s="64">
        <f t="shared" si="226"/>
        <v>0</v>
      </c>
      <c r="AI295" s="86">
        <f t="shared" si="226"/>
        <v>0</v>
      </c>
      <c r="FD295" s="59"/>
    </row>
    <row r="296" spans="1:160">
      <c r="A296" s="60" t="str">
        <f>G287</f>
        <v>Anno 3</v>
      </c>
      <c r="B296" s="59" t="s">
        <v>61</v>
      </c>
      <c r="C296" s="81"/>
      <c r="D296" s="52">
        <f>D295</f>
        <v>0</v>
      </c>
      <c r="E296" s="78"/>
      <c r="G296" s="63">
        <f>$D296-G295</f>
        <v>0</v>
      </c>
      <c r="H296" s="63">
        <f t="shared" ref="H296:AI296" si="227">IF(G296-H295&gt;0,G296-H295,0)</f>
        <v>0</v>
      </c>
      <c r="I296" s="63">
        <f t="shared" si="227"/>
        <v>0</v>
      </c>
      <c r="J296" s="63">
        <f t="shared" si="227"/>
        <v>0</v>
      </c>
      <c r="K296" s="63">
        <f t="shared" si="227"/>
        <v>0</v>
      </c>
      <c r="L296" s="63">
        <f t="shared" si="227"/>
        <v>0</v>
      </c>
      <c r="M296" s="63">
        <f t="shared" si="227"/>
        <v>0</v>
      </c>
      <c r="N296" s="63">
        <f t="shared" si="227"/>
        <v>0</v>
      </c>
      <c r="O296" s="63">
        <f t="shared" si="227"/>
        <v>0</v>
      </c>
      <c r="P296" s="63">
        <f t="shared" si="227"/>
        <v>0</v>
      </c>
      <c r="Q296" s="63">
        <f t="shared" si="227"/>
        <v>0</v>
      </c>
      <c r="R296" s="63">
        <f t="shared" si="227"/>
        <v>0</v>
      </c>
      <c r="S296" s="63">
        <f t="shared" si="227"/>
        <v>0</v>
      </c>
      <c r="T296" s="63">
        <f t="shared" si="227"/>
        <v>0</v>
      </c>
      <c r="U296" s="63">
        <f t="shared" si="227"/>
        <v>0</v>
      </c>
      <c r="V296" s="63">
        <f t="shared" si="227"/>
        <v>0</v>
      </c>
      <c r="W296" s="63">
        <f t="shared" si="227"/>
        <v>0</v>
      </c>
      <c r="X296" s="63">
        <f t="shared" si="227"/>
        <v>0</v>
      </c>
      <c r="Y296" s="63">
        <f t="shared" si="227"/>
        <v>0</v>
      </c>
      <c r="Z296" s="63">
        <f t="shared" si="227"/>
        <v>0</v>
      </c>
      <c r="AA296" s="63">
        <f t="shared" si="227"/>
        <v>0</v>
      </c>
      <c r="AB296" s="63">
        <f t="shared" si="227"/>
        <v>0</v>
      </c>
      <c r="AC296" s="63">
        <f t="shared" si="227"/>
        <v>0</v>
      </c>
      <c r="AD296" s="63">
        <f t="shared" si="227"/>
        <v>0</v>
      </c>
      <c r="AE296" s="63">
        <f t="shared" si="227"/>
        <v>0</v>
      </c>
      <c r="AF296" s="63">
        <f t="shared" si="227"/>
        <v>0</v>
      </c>
      <c r="AG296" s="63">
        <f t="shared" si="227"/>
        <v>0</v>
      </c>
      <c r="AH296" s="63">
        <f t="shared" si="227"/>
        <v>0</v>
      </c>
      <c r="AI296" s="79">
        <f t="shared" si="227"/>
        <v>0</v>
      </c>
    </row>
    <row r="297" spans="1:160" s="80" customFormat="1">
      <c r="A297" s="95" t="str">
        <f>H287</f>
        <v>Anno 4</v>
      </c>
      <c r="B297" s="80" t="str">
        <f>$B289</f>
        <v>Revisione speciale</v>
      </c>
      <c r="C297" s="81">
        <f>$C$289</f>
        <v>0</v>
      </c>
      <c r="D297" s="52">
        <f>Ipotesi!F34</f>
        <v>0</v>
      </c>
      <c r="E297" s="85"/>
      <c r="F297" s="64"/>
      <c r="G297" s="64"/>
      <c r="H297" s="64">
        <f>IF($D297*$C297&gt;=$D298,$D298,$D297*$C297)</f>
        <v>0</v>
      </c>
      <c r="I297" s="64">
        <f t="shared" ref="I297:AI297" si="228">IF($D297*$C297&gt;=H298,H298,$D297*$C297)</f>
        <v>0</v>
      </c>
      <c r="J297" s="64">
        <f t="shared" si="228"/>
        <v>0</v>
      </c>
      <c r="K297" s="64">
        <f t="shared" si="228"/>
        <v>0</v>
      </c>
      <c r="L297" s="64">
        <f t="shared" si="228"/>
        <v>0</v>
      </c>
      <c r="M297" s="64">
        <f t="shared" si="228"/>
        <v>0</v>
      </c>
      <c r="N297" s="64">
        <f t="shared" si="228"/>
        <v>0</v>
      </c>
      <c r="O297" s="64">
        <f t="shared" si="228"/>
        <v>0</v>
      </c>
      <c r="P297" s="64">
        <f t="shared" si="228"/>
        <v>0</v>
      </c>
      <c r="Q297" s="64">
        <f t="shared" si="228"/>
        <v>0</v>
      </c>
      <c r="R297" s="64">
        <f t="shared" si="228"/>
        <v>0</v>
      </c>
      <c r="S297" s="64">
        <f t="shared" si="228"/>
        <v>0</v>
      </c>
      <c r="T297" s="64">
        <f t="shared" si="228"/>
        <v>0</v>
      </c>
      <c r="U297" s="64">
        <f t="shared" si="228"/>
        <v>0</v>
      </c>
      <c r="V297" s="64">
        <f t="shared" si="228"/>
        <v>0</v>
      </c>
      <c r="W297" s="64">
        <f t="shared" si="228"/>
        <v>0</v>
      </c>
      <c r="X297" s="64">
        <f t="shared" si="228"/>
        <v>0</v>
      </c>
      <c r="Y297" s="64">
        <f t="shared" si="228"/>
        <v>0</v>
      </c>
      <c r="Z297" s="64">
        <f t="shared" si="228"/>
        <v>0</v>
      </c>
      <c r="AA297" s="64">
        <f t="shared" si="228"/>
        <v>0</v>
      </c>
      <c r="AB297" s="64">
        <f t="shared" si="228"/>
        <v>0</v>
      </c>
      <c r="AC297" s="64">
        <f t="shared" si="228"/>
        <v>0</v>
      </c>
      <c r="AD297" s="64">
        <f t="shared" si="228"/>
        <v>0</v>
      </c>
      <c r="AE297" s="64">
        <f t="shared" si="228"/>
        <v>0</v>
      </c>
      <c r="AF297" s="64">
        <f t="shared" si="228"/>
        <v>0</v>
      </c>
      <c r="AG297" s="64">
        <f t="shared" si="228"/>
        <v>0</v>
      </c>
      <c r="AH297" s="64">
        <f t="shared" si="228"/>
        <v>0</v>
      </c>
      <c r="AI297" s="86">
        <f t="shared" si="228"/>
        <v>0</v>
      </c>
      <c r="FD297" s="59"/>
    </row>
    <row r="298" spans="1:160">
      <c r="A298" s="60" t="str">
        <f>H287</f>
        <v>Anno 4</v>
      </c>
      <c r="B298" s="59" t="s">
        <v>61</v>
      </c>
      <c r="C298" s="81"/>
      <c r="D298" s="52">
        <f>D297</f>
        <v>0</v>
      </c>
      <c r="E298" s="78"/>
      <c r="H298" s="63">
        <f>$D298-H297</f>
        <v>0</v>
      </c>
      <c r="I298" s="63">
        <f t="shared" ref="I298:AI298" si="229">IF(H298-I297&gt;0,H298-I297,0)</f>
        <v>0</v>
      </c>
      <c r="J298" s="63">
        <f t="shared" si="229"/>
        <v>0</v>
      </c>
      <c r="K298" s="63">
        <f t="shared" si="229"/>
        <v>0</v>
      </c>
      <c r="L298" s="63">
        <f t="shared" si="229"/>
        <v>0</v>
      </c>
      <c r="M298" s="63">
        <f t="shared" si="229"/>
        <v>0</v>
      </c>
      <c r="N298" s="63">
        <f t="shared" si="229"/>
        <v>0</v>
      </c>
      <c r="O298" s="63">
        <f t="shared" si="229"/>
        <v>0</v>
      </c>
      <c r="P298" s="63">
        <f t="shared" si="229"/>
        <v>0</v>
      </c>
      <c r="Q298" s="63">
        <f t="shared" si="229"/>
        <v>0</v>
      </c>
      <c r="R298" s="63">
        <f t="shared" si="229"/>
        <v>0</v>
      </c>
      <c r="S298" s="63">
        <f t="shared" si="229"/>
        <v>0</v>
      </c>
      <c r="T298" s="63">
        <f t="shared" si="229"/>
        <v>0</v>
      </c>
      <c r="U298" s="63">
        <f t="shared" si="229"/>
        <v>0</v>
      </c>
      <c r="V298" s="63">
        <f t="shared" si="229"/>
        <v>0</v>
      </c>
      <c r="W298" s="63">
        <f t="shared" si="229"/>
        <v>0</v>
      </c>
      <c r="X298" s="63">
        <f t="shared" si="229"/>
        <v>0</v>
      </c>
      <c r="Y298" s="63">
        <f t="shared" si="229"/>
        <v>0</v>
      </c>
      <c r="Z298" s="63">
        <f t="shared" si="229"/>
        <v>0</v>
      </c>
      <c r="AA298" s="63">
        <f t="shared" si="229"/>
        <v>0</v>
      </c>
      <c r="AB298" s="63">
        <f t="shared" si="229"/>
        <v>0</v>
      </c>
      <c r="AC298" s="63">
        <f t="shared" si="229"/>
        <v>0</v>
      </c>
      <c r="AD298" s="63">
        <f t="shared" si="229"/>
        <v>0</v>
      </c>
      <c r="AE298" s="63">
        <f t="shared" si="229"/>
        <v>0</v>
      </c>
      <c r="AF298" s="63">
        <f t="shared" si="229"/>
        <v>0</v>
      </c>
      <c r="AG298" s="63">
        <f t="shared" si="229"/>
        <v>0</v>
      </c>
      <c r="AH298" s="63">
        <f t="shared" si="229"/>
        <v>0</v>
      </c>
      <c r="AI298" s="79">
        <f t="shared" si="229"/>
        <v>0</v>
      </c>
    </row>
    <row r="299" spans="1:160" s="80" customFormat="1">
      <c r="A299" s="95" t="str">
        <f>I287</f>
        <v>Anno 5</v>
      </c>
      <c r="B299" s="80" t="str">
        <f>$B289</f>
        <v>Revisione speciale</v>
      </c>
      <c r="C299" s="81">
        <f>$C$289</f>
        <v>0</v>
      </c>
      <c r="D299" s="52">
        <f>Ipotesi!G34</f>
        <v>0</v>
      </c>
      <c r="E299" s="85"/>
      <c r="F299" s="64"/>
      <c r="G299" s="64"/>
      <c r="H299" s="64"/>
      <c r="I299" s="64">
        <f>IF($D299*$C299&gt;=$D300,$D300,$D299*$C299)</f>
        <v>0</v>
      </c>
      <c r="J299" s="64">
        <f t="shared" ref="J299:AI299" si="230">IF($D299*$C299&gt;=I300,I300,$D299*$C299)</f>
        <v>0</v>
      </c>
      <c r="K299" s="64">
        <f t="shared" si="230"/>
        <v>0</v>
      </c>
      <c r="L299" s="64">
        <f t="shared" si="230"/>
        <v>0</v>
      </c>
      <c r="M299" s="64">
        <f t="shared" si="230"/>
        <v>0</v>
      </c>
      <c r="N299" s="64">
        <f t="shared" si="230"/>
        <v>0</v>
      </c>
      <c r="O299" s="64">
        <f t="shared" si="230"/>
        <v>0</v>
      </c>
      <c r="P299" s="64">
        <f t="shared" si="230"/>
        <v>0</v>
      </c>
      <c r="Q299" s="64">
        <f t="shared" si="230"/>
        <v>0</v>
      </c>
      <c r="R299" s="64">
        <f t="shared" si="230"/>
        <v>0</v>
      </c>
      <c r="S299" s="64">
        <f t="shared" si="230"/>
        <v>0</v>
      </c>
      <c r="T299" s="64">
        <f t="shared" si="230"/>
        <v>0</v>
      </c>
      <c r="U299" s="64">
        <f t="shared" si="230"/>
        <v>0</v>
      </c>
      <c r="V299" s="64">
        <f t="shared" si="230"/>
        <v>0</v>
      </c>
      <c r="W299" s="64">
        <f t="shared" si="230"/>
        <v>0</v>
      </c>
      <c r="X299" s="64">
        <f t="shared" si="230"/>
        <v>0</v>
      </c>
      <c r="Y299" s="64">
        <f t="shared" si="230"/>
        <v>0</v>
      </c>
      <c r="Z299" s="64">
        <f t="shared" si="230"/>
        <v>0</v>
      </c>
      <c r="AA299" s="64">
        <f t="shared" si="230"/>
        <v>0</v>
      </c>
      <c r="AB299" s="64">
        <f t="shared" si="230"/>
        <v>0</v>
      </c>
      <c r="AC299" s="64">
        <f t="shared" si="230"/>
        <v>0</v>
      </c>
      <c r="AD299" s="64">
        <f t="shared" si="230"/>
        <v>0</v>
      </c>
      <c r="AE299" s="64">
        <f t="shared" si="230"/>
        <v>0</v>
      </c>
      <c r="AF299" s="64">
        <f t="shared" si="230"/>
        <v>0</v>
      </c>
      <c r="AG299" s="64">
        <f t="shared" si="230"/>
        <v>0</v>
      </c>
      <c r="AH299" s="64">
        <f t="shared" si="230"/>
        <v>0</v>
      </c>
      <c r="AI299" s="86">
        <f t="shared" si="230"/>
        <v>0</v>
      </c>
      <c r="FD299" s="59"/>
    </row>
    <row r="300" spans="1:160">
      <c r="A300" s="60" t="str">
        <f>I287</f>
        <v>Anno 5</v>
      </c>
      <c r="B300" s="59" t="s">
        <v>61</v>
      </c>
      <c r="C300" s="81"/>
      <c r="D300" s="52">
        <f>D299</f>
        <v>0</v>
      </c>
      <c r="E300" s="78"/>
      <c r="I300" s="63">
        <f>$D300-I299</f>
        <v>0</v>
      </c>
      <c r="J300" s="63">
        <f t="shared" ref="J300:AI300" si="231">IF(I300-J299&gt;0,I300-J299,0)</f>
        <v>0</v>
      </c>
      <c r="K300" s="63">
        <f t="shared" si="231"/>
        <v>0</v>
      </c>
      <c r="L300" s="63">
        <f t="shared" si="231"/>
        <v>0</v>
      </c>
      <c r="M300" s="63">
        <f t="shared" si="231"/>
        <v>0</v>
      </c>
      <c r="N300" s="63">
        <f t="shared" si="231"/>
        <v>0</v>
      </c>
      <c r="O300" s="63">
        <f t="shared" si="231"/>
        <v>0</v>
      </c>
      <c r="P300" s="63">
        <f t="shared" si="231"/>
        <v>0</v>
      </c>
      <c r="Q300" s="63">
        <f t="shared" si="231"/>
        <v>0</v>
      </c>
      <c r="R300" s="63">
        <f t="shared" si="231"/>
        <v>0</v>
      </c>
      <c r="S300" s="63">
        <f t="shared" si="231"/>
        <v>0</v>
      </c>
      <c r="T300" s="63">
        <f t="shared" si="231"/>
        <v>0</v>
      </c>
      <c r="U300" s="63">
        <f t="shared" si="231"/>
        <v>0</v>
      </c>
      <c r="V300" s="63">
        <f t="shared" si="231"/>
        <v>0</v>
      </c>
      <c r="W300" s="63">
        <f t="shared" si="231"/>
        <v>0</v>
      </c>
      <c r="X300" s="63">
        <f t="shared" si="231"/>
        <v>0</v>
      </c>
      <c r="Y300" s="63">
        <f t="shared" si="231"/>
        <v>0</v>
      </c>
      <c r="Z300" s="63">
        <f t="shared" si="231"/>
        <v>0</v>
      </c>
      <c r="AA300" s="63">
        <f t="shared" si="231"/>
        <v>0</v>
      </c>
      <c r="AB300" s="63">
        <f t="shared" si="231"/>
        <v>0</v>
      </c>
      <c r="AC300" s="63">
        <f t="shared" si="231"/>
        <v>0</v>
      </c>
      <c r="AD300" s="63">
        <f t="shared" si="231"/>
        <v>0</v>
      </c>
      <c r="AE300" s="63">
        <f t="shared" si="231"/>
        <v>0</v>
      </c>
      <c r="AF300" s="63">
        <f t="shared" si="231"/>
        <v>0</v>
      </c>
      <c r="AG300" s="63">
        <f t="shared" si="231"/>
        <v>0</v>
      </c>
      <c r="AH300" s="63">
        <f t="shared" si="231"/>
        <v>0</v>
      </c>
      <c r="AI300" s="79">
        <f t="shared" si="231"/>
        <v>0</v>
      </c>
    </row>
    <row r="301" spans="1:160" s="80" customFormat="1">
      <c r="A301" s="95" t="str">
        <f>J287</f>
        <v>Anno 6</v>
      </c>
      <c r="B301" s="80" t="str">
        <f>$B289</f>
        <v>Revisione speciale</v>
      </c>
      <c r="C301" s="81">
        <f>$C$289</f>
        <v>0</v>
      </c>
      <c r="D301" s="52">
        <f>Ipotesi!H34</f>
        <v>0</v>
      </c>
      <c r="E301" s="85"/>
      <c r="F301" s="64"/>
      <c r="G301" s="64"/>
      <c r="H301" s="64"/>
      <c r="I301" s="64"/>
      <c r="J301" s="64">
        <f>IF($D301*$C301&gt;=$D302,$D302,$D301*$C301)</f>
        <v>0</v>
      </c>
      <c r="K301" s="64">
        <f t="shared" ref="K301:AI301" si="232">IF($D301*$C301&gt;=J302,J302,$D301*$C301)</f>
        <v>0</v>
      </c>
      <c r="L301" s="64">
        <f t="shared" si="232"/>
        <v>0</v>
      </c>
      <c r="M301" s="64">
        <f t="shared" si="232"/>
        <v>0</v>
      </c>
      <c r="N301" s="64">
        <f t="shared" si="232"/>
        <v>0</v>
      </c>
      <c r="O301" s="64">
        <f t="shared" si="232"/>
        <v>0</v>
      </c>
      <c r="P301" s="64">
        <f t="shared" si="232"/>
        <v>0</v>
      </c>
      <c r="Q301" s="64">
        <f t="shared" si="232"/>
        <v>0</v>
      </c>
      <c r="R301" s="64">
        <f t="shared" si="232"/>
        <v>0</v>
      </c>
      <c r="S301" s="64">
        <f t="shared" si="232"/>
        <v>0</v>
      </c>
      <c r="T301" s="64">
        <f t="shared" si="232"/>
        <v>0</v>
      </c>
      <c r="U301" s="64">
        <f t="shared" si="232"/>
        <v>0</v>
      </c>
      <c r="V301" s="64">
        <f t="shared" si="232"/>
        <v>0</v>
      </c>
      <c r="W301" s="64">
        <f t="shared" si="232"/>
        <v>0</v>
      </c>
      <c r="X301" s="64">
        <f t="shared" si="232"/>
        <v>0</v>
      </c>
      <c r="Y301" s="64">
        <f t="shared" si="232"/>
        <v>0</v>
      </c>
      <c r="Z301" s="64">
        <f t="shared" si="232"/>
        <v>0</v>
      </c>
      <c r="AA301" s="64">
        <f t="shared" si="232"/>
        <v>0</v>
      </c>
      <c r="AB301" s="64">
        <f t="shared" si="232"/>
        <v>0</v>
      </c>
      <c r="AC301" s="64">
        <f t="shared" si="232"/>
        <v>0</v>
      </c>
      <c r="AD301" s="64">
        <f t="shared" si="232"/>
        <v>0</v>
      </c>
      <c r="AE301" s="64">
        <f t="shared" si="232"/>
        <v>0</v>
      </c>
      <c r="AF301" s="64">
        <f t="shared" si="232"/>
        <v>0</v>
      </c>
      <c r="AG301" s="64">
        <f t="shared" si="232"/>
        <v>0</v>
      </c>
      <c r="AH301" s="64">
        <f t="shared" si="232"/>
        <v>0</v>
      </c>
      <c r="AI301" s="86">
        <f t="shared" si="232"/>
        <v>0</v>
      </c>
      <c r="FD301" s="59"/>
    </row>
    <row r="302" spans="1:160">
      <c r="A302" s="60" t="str">
        <f>J287</f>
        <v>Anno 6</v>
      </c>
      <c r="B302" s="59" t="s">
        <v>61</v>
      </c>
      <c r="C302" s="81"/>
      <c r="D302" s="52">
        <f>D301</f>
        <v>0</v>
      </c>
      <c r="E302" s="78"/>
      <c r="J302" s="63">
        <f>$D302-J301</f>
        <v>0</v>
      </c>
      <c r="K302" s="63">
        <f t="shared" ref="K302:AI302" si="233">IF(J302-K301&gt;0,J302-K301,0)</f>
        <v>0</v>
      </c>
      <c r="L302" s="63">
        <f t="shared" si="233"/>
        <v>0</v>
      </c>
      <c r="M302" s="63">
        <f t="shared" si="233"/>
        <v>0</v>
      </c>
      <c r="N302" s="63">
        <f t="shared" si="233"/>
        <v>0</v>
      </c>
      <c r="O302" s="63">
        <f t="shared" si="233"/>
        <v>0</v>
      </c>
      <c r="P302" s="63">
        <f t="shared" si="233"/>
        <v>0</v>
      </c>
      <c r="Q302" s="63">
        <f t="shared" si="233"/>
        <v>0</v>
      </c>
      <c r="R302" s="63">
        <f t="shared" si="233"/>
        <v>0</v>
      </c>
      <c r="S302" s="63">
        <f t="shared" si="233"/>
        <v>0</v>
      </c>
      <c r="T302" s="63">
        <f t="shared" si="233"/>
        <v>0</v>
      </c>
      <c r="U302" s="63">
        <f t="shared" si="233"/>
        <v>0</v>
      </c>
      <c r="V302" s="63">
        <f t="shared" si="233"/>
        <v>0</v>
      </c>
      <c r="W302" s="63">
        <f t="shared" si="233"/>
        <v>0</v>
      </c>
      <c r="X302" s="63">
        <f t="shared" si="233"/>
        <v>0</v>
      </c>
      <c r="Y302" s="63">
        <f t="shared" si="233"/>
        <v>0</v>
      </c>
      <c r="Z302" s="63">
        <f t="shared" si="233"/>
        <v>0</v>
      </c>
      <c r="AA302" s="63">
        <f t="shared" si="233"/>
        <v>0</v>
      </c>
      <c r="AB302" s="63">
        <f t="shared" si="233"/>
        <v>0</v>
      </c>
      <c r="AC302" s="63">
        <f t="shared" si="233"/>
        <v>0</v>
      </c>
      <c r="AD302" s="63">
        <f t="shared" si="233"/>
        <v>0</v>
      </c>
      <c r="AE302" s="63">
        <f t="shared" si="233"/>
        <v>0</v>
      </c>
      <c r="AF302" s="63">
        <f t="shared" si="233"/>
        <v>0</v>
      </c>
      <c r="AG302" s="63">
        <f t="shared" si="233"/>
        <v>0</v>
      </c>
      <c r="AH302" s="63">
        <f t="shared" si="233"/>
        <v>0</v>
      </c>
      <c r="AI302" s="79">
        <f t="shared" si="233"/>
        <v>0</v>
      </c>
    </row>
    <row r="303" spans="1:160" s="80" customFormat="1">
      <c r="A303" s="95" t="str">
        <f>K287</f>
        <v>Anno 7</v>
      </c>
      <c r="B303" s="80" t="str">
        <f>$B289</f>
        <v>Revisione speciale</v>
      </c>
      <c r="C303" s="81">
        <f>$C$289</f>
        <v>0</v>
      </c>
      <c r="D303" s="52">
        <f>Ipotesi!I34</f>
        <v>0</v>
      </c>
      <c r="E303" s="85"/>
      <c r="F303" s="64"/>
      <c r="G303" s="64"/>
      <c r="H303" s="64"/>
      <c r="I303" s="64"/>
      <c r="J303" s="87"/>
      <c r="K303" s="64">
        <f>IF($D303*$C303&gt;=$D304,$D304,$D303*$C303)</f>
        <v>0</v>
      </c>
      <c r="L303" s="64">
        <f t="shared" ref="L303:AI303" si="234">IF($D303*$C303&gt;=K304,K304,$D303*$C303)</f>
        <v>0</v>
      </c>
      <c r="M303" s="64">
        <f t="shared" si="234"/>
        <v>0</v>
      </c>
      <c r="N303" s="64">
        <f t="shared" si="234"/>
        <v>0</v>
      </c>
      <c r="O303" s="64">
        <f t="shared" si="234"/>
        <v>0</v>
      </c>
      <c r="P303" s="64">
        <f t="shared" si="234"/>
        <v>0</v>
      </c>
      <c r="Q303" s="64">
        <f t="shared" si="234"/>
        <v>0</v>
      </c>
      <c r="R303" s="64">
        <f t="shared" si="234"/>
        <v>0</v>
      </c>
      <c r="S303" s="64">
        <f t="shared" si="234"/>
        <v>0</v>
      </c>
      <c r="T303" s="64">
        <f t="shared" si="234"/>
        <v>0</v>
      </c>
      <c r="U303" s="64">
        <f t="shared" si="234"/>
        <v>0</v>
      </c>
      <c r="V303" s="64">
        <f t="shared" si="234"/>
        <v>0</v>
      </c>
      <c r="W303" s="64">
        <f t="shared" si="234"/>
        <v>0</v>
      </c>
      <c r="X303" s="64">
        <f t="shared" si="234"/>
        <v>0</v>
      </c>
      <c r="Y303" s="64">
        <f t="shared" si="234"/>
        <v>0</v>
      </c>
      <c r="Z303" s="64">
        <f t="shared" si="234"/>
        <v>0</v>
      </c>
      <c r="AA303" s="64">
        <f t="shared" si="234"/>
        <v>0</v>
      </c>
      <c r="AB303" s="64">
        <f t="shared" si="234"/>
        <v>0</v>
      </c>
      <c r="AC303" s="64">
        <f t="shared" si="234"/>
        <v>0</v>
      </c>
      <c r="AD303" s="64">
        <f t="shared" si="234"/>
        <v>0</v>
      </c>
      <c r="AE303" s="64">
        <f t="shared" si="234"/>
        <v>0</v>
      </c>
      <c r="AF303" s="64">
        <f t="shared" si="234"/>
        <v>0</v>
      </c>
      <c r="AG303" s="64">
        <f t="shared" si="234"/>
        <v>0</v>
      </c>
      <c r="AH303" s="64">
        <f t="shared" si="234"/>
        <v>0</v>
      </c>
      <c r="AI303" s="86">
        <f t="shared" si="234"/>
        <v>0</v>
      </c>
      <c r="FD303" s="59"/>
    </row>
    <row r="304" spans="1:160">
      <c r="A304" s="60" t="str">
        <f>K287</f>
        <v>Anno 7</v>
      </c>
      <c r="B304" s="59" t="s">
        <v>61</v>
      </c>
      <c r="C304" s="81"/>
      <c r="D304" s="52">
        <f>D303</f>
        <v>0</v>
      </c>
      <c r="E304" s="78"/>
      <c r="K304" s="63">
        <f>$D304-K303</f>
        <v>0</v>
      </c>
      <c r="L304" s="63">
        <f t="shared" ref="L304:AI304" si="235">IF(K304-L303&gt;0,K304-L303,0)</f>
        <v>0</v>
      </c>
      <c r="M304" s="63">
        <f t="shared" si="235"/>
        <v>0</v>
      </c>
      <c r="N304" s="63">
        <f t="shared" si="235"/>
        <v>0</v>
      </c>
      <c r="O304" s="63">
        <f t="shared" si="235"/>
        <v>0</v>
      </c>
      <c r="P304" s="63">
        <f t="shared" si="235"/>
        <v>0</v>
      </c>
      <c r="Q304" s="63">
        <f t="shared" si="235"/>
        <v>0</v>
      </c>
      <c r="R304" s="63">
        <f t="shared" si="235"/>
        <v>0</v>
      </c>
      <c r="S304" s="63">
        <f t="shared" si="235"/>
        <v>0</v>
      </c>
      <c r="T304" s="63">
        <f t="shared" si="235"/>
        <v>0</v>
      </c>
      <c r="U304" s="63">
        <f t="shared" si="235"/>
        <v>0</v>
      </c>
      <c r="V304" s="63">
        <f t="shared" si="235"/>
        <v>0</v>
      </c>
      <c r="W304" s="63">
        <f t="shared" si="235"/>
        <v>0</v>
      </c>
      <c r="X304" s="63">
        <f t="shared" si="235"/>
        <v>0</v>
      </c>
      <c r="Y304" s="63">
        <f t="shared" si="235"/>
        <v>0</v>
      </c>
      <c r="Z304" s="63">
        <f t="shared" si="235"/>
        <v>0</v>
      </c>
      <c r="AA304" s="63">
        <f t="shared" si="235"/>
        <v>0</v>
      </c>
      <c r="AB304" s="63">
        <f t="shared" si="235"/>
        <v>0</v>
      </c>
      <c r="AC304" s="63">
        <f t="shared" si="235"/>
        <v>0</v>
      </c>
      <c r="AD304" s="63">
        <f t="shared" si="235"/>
        <v>0</v>
      </c>
      <c r="AE304" s="63">
        <f t="shared" si="235"/>
        <v>0</v>
      </c>
      <c r="AF304" s="63">
        <f t="shared" si="235"/>
        <v>0</v>
      </c>
      <c r="AG304" s="63">
        <f t="shared" si="235"/>
        <v>0</v>
      </c>
      <c r="AH304" s="63">
        <f t="shared" si="235"/>
        <v>0</v>
      </c>
      <c r="AI304" s="79">
        <f t="shared" si="235"/>
        <v>0</v>
      </c>
    </row>
    <row r="305" spans="1:160" s="80" customFormat="1">
      <c r="A305" s="95" t="str">
        <f>L287</f>
        <v>Anno 8</v>
      </c>
      <c r="B305" s="80" t="str">
        <f>$B289</f>
        <v>Revisione speciale</v>
      </c>
      <c r="C305" s="81">
        <f>$C$289</f>
        <v>0</v>
      </c>
      <c r="D305" s="52">
        <f>Ipotesi!J34</f>
        <v>0</v>
      </c>
      <c r="E305" s="85"/>
      <c r="F305" s="64"/>
      <c r="G305" s="64"/>
      <c r="H305" s="64"/>
      <c r="I305" s="64"/>
      <c r="J305" s="87"/>
      <c r="K305" s="87"/>
      <c r="L305" s="64">
        <f>IF($D305*$C305&gt;=$D306,$D306,$D305*$C305)</f>
        <v>0</v>
      </c>
      <c r="M305" s="64">
        <f t="shared" ref="M305:AI305" si="236">IF($D305*$C305&gt;=L306,L306,$D305*$C305)</f>
        <v>0</v>
      </c>
      <c r="N305" s="64">
        <f t="shared" si="236"/>
        <v>0</v>
      </c>
      <c r="O305" s="64">
        <f t="shared" si="236"/>
        <v>0</v>
      </c>
      <c r="P305" s="64">
        <f t="shared" si="236"/>
        <v>0</v>
      </c>
      <c r="Q305" s="64">
        <f t="shared" si="236"/>
        <v>0</v>
      </c>
      <c r="R305" s="64">
        <f t="shared" si="236"/>
        <v>0</v>
      </c>
      <c r="S305" s="64">
        <f t="shared" si="236"/>
        <v>0</v>
      </c>
      <c r="T305" s="64">
        <f t="shared" si="236"/>
        <v>0</v>
      </c>
      <c r="U305" s="64">
        <f t="shared" si="236"/>
        <v>0</v>
      </c>
      <c r="V305" s="64">
        <f t="shared" si="236"/>
        <v>0</v>
      </c>
      <c r="W305" s="64">
        <f t="shared" si="236"/>
        <v>0</v>
      </c>
      <c r="X305" s="64">
        <f t="shared" si="236"/>
        <v>0</v>
      </c>
      <c r="Y305" s="64">
        <f t="shared" si="236"/>
        <v>0</v>
      </c>
      <c r="Z305" s="64">
        <f t="shared" si="236"/>
        <v>0</v>
      </c>
      <c r="AA305" s="64">
        <f t="shared" si="236"/>
        <v>0</v>
      </c>
      <c r="AB305" s="64">
        <f t="shared" si="236"/>
        <v>0</v>
      </c>
      <c r="AC305" s="64">
        <f t="shared" si="236"/>
        <v>0</v>
      </c>
      <c r="AD305" s="64">
        <f t="shared" si="236"/>
        <v>0</v>
      </c>
      <c r="AE305" s="64">
        <f t="shared" si="236"/>
        <v>0</v>
      </c>
      <c r="AF305" s="64">
        <f t="shared" si="236"/>
        <v>0</v>
      </c>
      <c r="AG305" s="64">
        <f t="shared" si="236"/>
        <v>0</v>
      </c>
      <c r="AH305" s="64">
        <f t="shared" si="236"/>
        <v>0</v>
      </c>
      <c r="AI305" s="86">
        <f t="shared" si="236"/>
        <v>0</v>
      </c>
      <c r="FD305" s="59"/>
    </row>
    <row r="306" spans="1:160">
      <c r="A306" s="60" t="str">
        <f>L287</f>
        <v>Anno 8</v>
      </c>
      <c r="B306" s="59" t="s">
        <v>61</v>
      </c>
      <c r="C306" s="81"/>
      <c r="D306" s="52">
        <f>D305</f>
        <v>0</v>
      </c>
      <c r="E306" s="78"/>
      <c r="L306" s="63">
        <f>$D306-L305</f>
        <v>0</v>
      </c>
      <c r="M306" s="63">
        <f t="shared" ref="M306:AI306" si="237">IF(L306-M305&gt;0,L306-M305,0)</f>
        <v>0</v>
      </c>
      <c r="N306" s="63">
        <f t="shared" si="237"/>
        <v>0</v>
      </c>
      <c r="O306" s="63">
        <f t="shared" si="237"/>
        <v>0</v>
      </c>
      <c r="P306" s="63">
        <f t="shared" si="237"/>
        <v>0</v>
      </c>
      <c r="Q306" s="63">
        <f t="shared" si="237"/>
        <v>0</v>
      </c>
      <c r="R306" s="63">
        <f t="shared" si="237"/>
        <v>0</v>
      </c>
      <c r="S306" s="63">
        <f t="shared" si="237"/>
        <v>0</v>
      </c>
      <c r="T306" s="63">
        <f t="shared" si="237"/>
        <v>0</v>
      </c>
      <c r="U306" s="63">
        <f t="shared" si="237"/>
        <v>0</v>
      </c>
      <c r="V306" s="63">
        <f t="shared" si="237"/>
        <v>0</v>
      </c>
      <c r="W306" s="63">
        <f t="shared" si="237"/>
        <v>0</v>
      </c>
      <c r="X306" s="63">
        <f t="shared" si="237"/>
        <v>0</v>
      </c>
      <c r="Y306" s="63">
        <f t="shared" si="237"/>
        <v>0</v>
      </c>
      <c r="Z306" s="63">
        <f t="shared" si="237"/>
        <v>0</v>
      </c>
      <c r="AA306" s="63">
        <f t="shared" si="237"/>
        <v>0</v>
      </c>
      <c r="AB306" s="63">
        <f t="shared" si="237"/>
        <v>0</v>
      </c>
      <c r="AC306" s="63">
        <f t="shared" si="237"/>
        <v>0</v>
      </c>
      <c r="AD306" s="63">
        <f t="shared" si="237"/>
        <v>0</v>
      </c>
      <c r="AE306" s="63">
        <f t="shared" si="237"/>
        <v>0</v>
      </c>
      <c r="AF306" s="63">
        <f t="shared" si="237"/>
        <v>0</v>
      </c>
      <c r="AG306" s="63">
        <f t="shared" si="237"/>
        <v>0</v>
      </c>
      <c r="AH306" s="63">
        <f t="shared" si="237"/>
        <v>0</v>
      </c>
      <c r="AI306" s="79">
        <f t="shared" si="237"/>
        <v>0</v>
      </c>
    </row>
    <row r="307" spans="1:160" s="80" customFormat="1">
      <c r="A307" s="95" t="str">
        <f>M287</f>
        <v>Anno 9</v>
      </c>
      <c r="B307" s="80" t="str">
        <f>$B289</f>
        <v>Revisione speciale</v>
      </c>
      <c r="C307" s="81">
        <f>$C$289</f>
        <v>0</v>
      </c>
      <c r="D307" s="52">
        <f>Ipotesi!K34</f>
        <v>0</v>
      </c>
      <c r="E307" s="85"/>
      <c r="F307" s="64"/>
      <c r="G307" s="64"/>
      <c r="H307" s="64"/>
      <c r="I307" s="64"/>
      <c r="J307" s="87"/>
      <c r="K307" s="87"/>
      <c r="L307" s="87"/>
      <c r="M307" s="64">
        <f>IF($D307*$C307&gt;=$D308,$D308,$D307*$C307)</f>
        <v>0</v>
      </c>
      <c r="N307" s="64">
        <f t="shared" ref="N307:AI307" si="238">IF($D307*$C307&gt;=M308,M308,$D307*$C307)</f>
        <v>0</v>
      </c>
      <c r="O307" s="64">
        <f t="shared" si="238"/>
        <v>0</v>
      </c>
      <c r="P307" s="64">
        <f t="shared" si="238"/>
        <v>0</v>
      </c>
      <c r="Q307" s="64">
        <f t="shared" si="238"/>
        <v>0</v>
      </c>
      <c r="R307" s="64">
        <f t="shared" si="238"/>
        <v>0</v>
      </c>
      <c r="S307" s="64">
        <f t="shared" si="238"/>
        <v>0</v>
      </c>
      <c r="T307" s="64">
        <f t="shared" si="238"/>
        <v>0</v>
      </c>
      <c r="U307" s="64">
        <f t="shared" si="238"/>
        <v>0</v>
      </c>
      <c r="V307" s="64">
        <f t="shared" si="238"/>
        <v>0</v>
      </c>
      <c r="W307" s="64">
        <f t="shared" si="238"/>
        <v>0</v>
      </c>
      <c r="X307" s="64">
        <f t="shared" si="238"/>
        <v>0</v>
      </c>
      <c r="Y307" s="64">
        <f t="shared" si="238"/>
        <v>0</v>
      </c>
      <c r="Z307" s="64">
        <f t="shared" si="238"/>
        <v>0</v>
      </c>
      <c r="AA307" s="64">
        <f t="shared" si="238"/>
        <v>0</v>
      </c>
      <c r="AB307" s="64">
        <f t="shared" si="238"/>
        <v>0</v>
      </c>
      <c r="AC307" s="64">
        <f t="shared" si="238"/>
        <v>0</v>
      </c>
      <c r="AD307" s="64">
        <f t="shared" si="238"/>
        <v>0</v>
      </c>
      <c r="AE307" s="64">
        <f t="shared" si="238"/>
        <v>0</v>
      </c>
      <c r="AF307" s="64">
        <f t="shared" si="238"/>
        <v>0</v>
      </c>
      <c r="AG307" s="64">
        <f t="shared" si="238"/>
        <v>0</v>
      </c>
      <c r="AH307" s="64">
        <f t="shared" si="238"/>
        <v>0</v>
      </c>
      <c r="AI307" s="86">
        <f t="shared" si="238"/>
        <v>0</v>
      </c>
      <c r="FD307" s="59"/>
    </row>
    <row r="308" spans="1:160">
      <c r="A308" s="60" t="str">
        <f>M287</f>
        <v>Anno 9</v>
      </c>
      <c r="B308" s="59" t="s">
        <v>61</v>
      </c>
      <c r="C308" s="81"/>
      <c r="D308" s="52">
        <f>D307</f>
        <v>0</v>
      </c>
      <c r="E308" s="78"/>
      <c r="M308" s="63">
        <f>$D308-M307</f>
        <v>0</v>
      </c>
      <c r="N308" s="63">
        <f t="shared" ref="N308:AI308" si="239">IF(M308-N307&gt;0,M308-N307,0)</f>
        <v>0</v>
      </c>
      <c r="O308" s="63">
        <f t="shared" si="239"/>
        <v>0</v>
      </c>
      <c r="P308" s="63">
        <f t="shared" si="239"/>
        <v>0</v>
      </c>
      <c r="Q308" s="63">
        <f t="shared" si="239"/>
        <v>0</v>
      </c>
      <c r="R308" s="63">
        <f t="shared" si="239"/>
        <v>0</v>
      </c>
      <c r="S308" s="63">
        <f t="shared" si="239"/>
        <v>0</v>
      </c>
      <c r="T308" s="63">
        <f t="shared" si="239"/>
        <v>0</v>
      </c>
      <c r="U308" s="63">
        <f t="shared" si="239"/>
        <v>0</v>
      </c>
      <c r="V308" s="63">
        <f t="shared" si="239"/>
        <v>0</v>
      </c>
      <c r="W308" s="63">
        <f t="shared" si="239"/>
        <v>0</v>
      </c>
      <c r="X308" s="63">
        <f t="shared" si="239"/>
        <v>0</v>
      </c>
      <c r="Y308" s="63">
        <f t="shared" si="239"/>
        <v>0</v>
      </c>
      <c r="Z308" s="63">
        <f t="shared" si="239"/>
        <v>0</v>
      </c>
      <c r="AA308" s="63">
        <f t="shared" si="239"/>
        <v>0</v>
      </c>
      <c r="AB308" s="63">
        <f t="shared" si="239"/>
        <v>0</v>
      </c>
      <c r="AC308" s="63">
        <f t="shared" si="239"/>
        <v>0</v>
      </c>
      <c r="AD308" s="63">
        <f t="shared" si="239"/>
        <v>0</v>
      </c>
      <c r="AE308" s="63">
        <f t="shared" si="239"/>
        <v>0</v>
      </c>
      <c r="AF308" s="63">
        <f t="shared" si="239"/>
        <v>0</v>
      </c>
      <c r="AG308" s="63">
        <f t="shared" si="239"/>
        <v>0</v>
      </c>
      <c r="AH308" s="63">
        <f t="shared" si="239"/>
        <v>0</v>
      </c>
      <c r="AI308" s="79">
        <f t="shared" si="239"/>
        <v>0</v>
      </c>
    </row>
    <row r="309" spans="1:160" s="80" customFormat="1">
      <c r="A309" s="95" t="str">
        <f>N287</f>
        <v>Anno 10</v>
      </c>
      <c r="B309" s="80" t="str">
        <f>$B289</f>
        <v>Revisione speciale</v>
      </c>
      <c r="C309" s="81">
        <f>$C$289</f>
        <v>0</v>
      </c>
      <c r="D309" s="52">
        <f>Ipotesi!L34</f>
        <v>0</v>
      </c>
      <c r="E309" s="85"/>
      <c r="F309" s="64"/>
      <c r="G309" s="64"/>
      <c r="H309" s="64"/>
      <c r="I309" s="64"/>
      <c r="J309" s="87"/>
      <c r="K309" s="87"/>
      <c r="L309" s="87"/>
      <c r="M309" s="87"/>
      <c r="N309" s="64">
        <f>IF($D309*$C309&gt;=$D310,$D310,$D309*$C309)</f>
        <v>0</v>
      </c>
      <c r="O309" s="64">
        <f t="shared" ref="O309:AI309" si="240">IF($D309*$C309&gt;=N310,N310,$D309*$C309)</f>
        <v>0</v>
      </c>
      <c r="P309" s="64">
        <f t="shared" si="240"/>
        <v>0</v>
      </c>
      <c r="Q309" s="64">
        <f t="shared" si="240"/>
        <v>0</v>
      </c>
      <c r="R309" s="64">
        <f t="shared" si="240"/>
        <v>0</v>
      </c>
      <c r="S309" s="64">
        <f t="shared" si="240"/>
        <v>0</v>
      </c>
      <c r="T309" s="64">
        <f t="shared" si="240"/>
        <v>0</v>
      </c>
      <c r="U309" s="64">
        <f t="shared" si="240"/>
        <v>0</v>
      </c>
      <c r="V309" s="64">
        <f t="shared" si="240"/>
        <v>0</v>
      </c>
      <c r="W309" s="64">
        <f t="shared" si="240"/>
        <v>0</v>
      </c>
      <c r="X309" s="64">
        <f t="shared" si="240"/>
        <v>0</v>
      </c>
      <c r="Y309" s="64">
        <f t="shared" si="240"/>
        <v>0</v>
      </c>
      <c r="Z309" s="64">
        <f t="shared" si="240"/>
        <v>0</v>
      </c>
      <c r="AA309" s="64">
        <f t="shared" si="240"/>
        <v>0</v>
      </c>
      <c r="AB309" s="64">
        <f t="shared" si="240"/>
        <v>0</v>
      </c>
      <c r="AC309" s="64">
        <f t="shared" si="240"/>
        <v>0</v>
      </c>
      <c r="AD309" s="64">
        <f t="shared" si="240"/>
        <v>0</v>
      </c>
      <c r="AE309" s="64">
        <f t="shared" si="240"/>
        <v>0</v>
      </c>
      <c r="AF309" s="64">
        <f t="shared" si="240"/>
        <v>0</v>
      </c>
      <c r="AG309" s="64">
        <f t="shared" si="240"/>
        <v>0</v>
      </c>
      <c r="AH309" s="64">
        <f t="shared" si="240"/>
        <v>0</v>
      </c>
      <c r="AI309" s="86">
        <f t="shared" si="240"/>
        <v>0</v>
      </c>
      <c r="FD309" s="59"/>
    </row>
    <row r="310" spans="1:160">
      <c r="A310" s="60" t="str">
        <f>N287</f>
        <v>Anno 10</v>
      </c>
      <c r="B310" s="59" t="s">
        <v>61</v>
      </c>
      <c r="C310" s="81"/>
      <c r="D310" s="52">
        <f>D309</f>
        <v>0</v>
      </c>
      <c r="E310" s="78"/>
      <c r="N310" s="63">
        <f>$D310-N309</f>
        <v>0</v>
      </c>
      <c r="O310" s="63">
        <f t="shared" ref="O310:AI310" si="241">IF(N310-O309&gt;0,N310-O309,0)</f>
        <v>0</v>
      </c>
      <c r="P310" s="63">
        <f t="shared" si="241"/>
        <v>0</v>
      </c>
      <c r="Q310" s="63">
        <f t="shared" si="241"/>
        <v>0</v>
      </c>
      <c r="R310" s="63">
        <f t="shared" si="241"/>
        <v>0</v>
      </c>
      <c r="S310" s="63">
        <f t="shared" si="241"/>
        <v>0</v>
      </c>
      <c r="T310" s="63">
        <f t="shared" si="241"/>
        <v>0</v>
      </c>
      <c r="U310" s="63">
        <f t="shared" si="241"/>
        <v>0</v>
      </c>
      <c r="V310" s="63">
        <f t="shared" si="241"/>
        <v>0</v>
      </c>
      <c r="W310" s="63">
        <f t="shared" si="241"/>
        <v>0</v>
      </c>
      <c r="X310" s="63">
        <f t="shared" si="241"/>
        <v>0</v>
      </c>
      <c r="Y310" s="63">
        <f t="shared" si="241"/>
        <v>0</v>
      </c>
      <c r="Z310" s="63">
        <f t="shared" si="241"/>
        <v>0</v>
      </c>
      <c r="AA310" s="63">
        <f t="shared" si="241"/>
        <v>0</v>
      </c>
      <c r="AB310" s="63">
        <f t="shared" si="241"/>
        <v>0</v>
      </c>
      <c r="AC310" s="63">
        <f t="shared" si="241"/>
        <v>0</v>
      </c>
      <c r="AD310" s="63">
        <f t="shared" si="241"/>
        <v>0</v>
      </c>
      <c r="AE310" s="63">
        <f t="shared" si="241"/>
        <v>0</v>
      </c>
      <c r="AF310" s="63">
        <f t="shared" si="241"/>
        <v>0</v>
      </c>
      <c r="AG310" s="63">
        <f t="shared" si="241"/>
        <v>0</v>
      </c>
      <c r="AH310" s="63">
        <f t="shared" si="241"/>
        <v>0</v>
      </c>
      <c r="AI310" s="79">
        <f t="shared" si="241"/>
        <v>0</v>
      </c>
    </row>
    <row r="311" spans="1:160" s="80" customFormat="1">
      <c r="A311" s="95" t="str">
        <f>O287</f>
        <v>Anno 11</v>
      </c>
      <c r="B311" s="80" t="str">
        <f>$B289</f>
        <v>Revisione speciale</v>
      </c>
      <c r="C311" s="81">
        <f>$C$289</f>
        <v>0</v>
      </c>
      <c r="D311" s="52">
        <f>Ipotesi!M34</f>
        <v>0</v>
      </c>
      <c r="E311" s="85"/>
      <c r="F311" s="64"/>
      <c r="G311" s="64"/>
      <c r="H311" s="64"/>
      <c r="I311" s="64"/>
      <c r="J311" s="87"/>
      <c r="K311" s="87"/>
      <c r="L311" s="87"/>
      <c r="M311" s="87"/>
      <c r="N311" s="87"/>
      <c r="O311" s="64">
        <f>IF($D311*$C311&gt;=$D312,$D312,$D311*$C311)</f>
        <v>0</v>
      </c>
      <c r="P311" s="64">
        <f t="shared" ref="P311:AI311" si="242">IF($D311*$C311&gt;=O312,O312,$D311*$C311)</f>
        <v>0</v>
      </c>
      <c r="Q311" s="64">
        <f t="shared" si="242"/>
        <v>0</v>
      </c>
      <c r="R311" s="64">
        <f t="shared" si="242"/>
        <v>0</v>
      </c>
      <c r="S311" s="64">
        <f t="shared" si="242"/>
        <v>0</v>
      </c>
      <c r="T311" s="64">
        <f t="shared" si="242"/>
        <v>0</v>
      </c>
      <c r="U311" s="64">
        <f t="shared" si="242"/>
        <v>0</v>
      </c>
      <c r="V311" s="64">
        <f t="shared" si="242"/>
        <v>0</v>
      </c>
      <c r="W311" s="64">
        <f t="shared" si="242"/>
        <v>0</v>
      </c>
      <c r="X311" s="64">
        <f t="shared" si="242"/>
        <v>0</v>
      </c>
      <c r="Y311" s="64">
        <f t="shared" si="242"/>
        <v>0</v>
      </c>
      <c r="Z311" s="64">
        <f t="shared" si="242"/>
        <v>0</v>
      </c>
      <c r="AA311" s="64">
        <f t="shared" si="242"/>
        <v>0</v>
      </c>
      <c r="AB311" s="64">
        <f t="shared" si="242"/>
        <v>0</v>
      </c>
      <c r="AC311" s="64">
        <f t="shared" si="242"/>
        <v>0</v>
      </c>
      <c r="AD311" s="64">
        <f t="shared" si="242"/>
        <v>0</v>
      </c>
      <c r="AE311" s="64">
        <f t="shared" si="242"/>
        <v>0</v>
      </c>
      <c r="AF311" s="64">
        <f t="shared" si="242"/>
        <v>0</v>
      </c>
      <c r="AG311" s="64">
        <f t="shared" si="242"/>
        <v>0</v>
      </c>
      <c r="AH311" s="64">
        <f t="shared" si="242"/>
        <v>0</v>
      </c>
      <c r="AI311" s="86">
        <f t="shared" si="242"/>
        <v>0</v>
      </c>
      <c r="FD311" s="59"/>
    </row>
    <row r="312" spans="1:160">
      <c r="A312" s="60" t="str">
        <f>O287</f>
        <v>Anno 11</v>
      </c>
      <c r="B312" s="59" t="s">
        <v>61</v>
      </c>
      <c r="C312" s="81"/>
      <c r="D312" s="52">
        <f>D311</f>
        <v>0</v>
      </c>
      <c r="E312" s="78"/>
      <c r="O312" s="63">
        <f>$D312-O311</f>
        <v>0</v>
      </c>
      <c r="P312" s="63">
        <f t="shared" ref="P312:AI312" si="243">IF(O312-P311&gt;0,O312-P311,0)</f>
        <v>0</v>
      </c>
      <c r="Q312" s="63">
        <f t="shared" si="243"/>
        <v>0</v>
      </c>
      <c r="R312" s="63">
        <f t="shared" si="243"/>
        <v>0</v>
      </c>
      <c r="S312" s="63">
        <f t="shared" si="243"/>
        <v>0</v>
      </c>
      <c r="T312" s="63">
        <f t="shared" si="243"/>
        <v>0</v>
      </c>
      <c r="U312" s="63">
        <f t="shared" si="243"/>
        <v>0</v>
      </c>
      <c r="V312" s="63">
        <f t="shared" si="243"/>
        <v>0</v>
      </c>
      <c r="W312" s="63">
        <f t="shared" si="243"/>
        <v>0</v>
      </c>
      <c r="X312" s="63">
        <f t="shared" si="243"/>
        <v>0</v>
      </c>
      <c r="Y312" s="63">
        <f t="shared" si="243"/>
        <v>0</v>
      </c>
      <c r="Z312" s="63">
        <f t="shared" si="243"/>
        <v>0</v>
      </c>
      <c r="AA312" s="63">
        <f t="shared" si="243"/>
        <v>0</v>
      </c>
      <c r="AB312" s="63">
        <f t="shared" si="243"/>
        <v>0</v>
      </c>
      <c r="AC312" s="63">
        <f t="shared" si="243"/>
        <v>0</v>
      </c>
      <c r="AD312" s="63">
        <f t="shared" si="243"/>
        <v>0</v>
      </c>
      <c r="AE312" s="63">
        <f t="shared" si="243"/>
        <v>0</v>
      </c>
      <c r="AF312" s="63">
        <f t="shared" si="243"/>
        <v>0</v>
      </c>
      <c r="AG312" s="63">
        <f t="shared" si="243"/>
        <v>0</v>
      </c>
      <c r="AH312" s="63">
        <f t="shared" si="243"/>
        <v>0</v>
      </c>
      <c r="AI312" s="79">
        <f t="shared" si="243"/>
        <v>0</v>
      </c>
    </row>
    <row r="313" spans="1:160" s="80" customFormat="1">
      <c r="A313" s="95" t="str">
        <f>P287</f>
        <v>Anno 12</v>
      </c>
      <c r="B313" s="80" t="str">
        <f>$B289</f>
        <v>Revisione speciale</v>
      </c>
      <c r="C313" s="81">
        <f>$C$289</f>
        <v>0</v>
      </c>
      <c r="D313" s="52">
        <f>Ipotesi!N34</f>
        <v>0</v>
      </c>
      <c r="E313" s="85"/>
      <c r="F313" s="64"/>
      <c r="G313" s="64"/>
      <c r="H313" s="64"/>
      <c r="I313" s="64"/>
      <c r="J313" s="87"/>
      <c r="K313" s="87"/>
      <c r="L313" s="87"/>
      <c r="M313" s="87"/>
      <c r="N313" s="87"/>
      <c r="O313" s="87"/>
      <c r="P313" s="64">
        <f>IF($D313*$C313&gt;=$D314,$D314,$D313*$C313)</f>
        <v>0</v>
      </c>
      <c r="Q313" s="64">
        <f t="shared" ref="Q313:AI313" si="244">IF($D313*$C313&gt;=P314,P314,$D313*$C313)</f>
        <v>0</v>
      </c>
      <c r="R313" s="64">
        <f t="shared" si="244"/>
        <v>0</v>
      </c>
      <c r="S313" s="64">
        <f t="shared" si="244"/>
        <v>0</v>
      </c>
      <c r="T313" s="64">
        <f t="shared" si="244"/>
        <v>0</v>
      </c>
      <c r="U313" s="64">
        <f t="shared" si="244"/>
        <v>0</v>
      </c>
      <c r="V313" s="64">
        <f t="shared" si="244"/>
        <v>0</v>
      </c>
      <c r="W313" s="64">
        <f t="shared" si="244"/>
        <v>0</v>
      </c>
      <c r="X313" s="64">
        <f t="shared" si="244"/>
        <v>0</v>
      </c>
      <c r="Y313" s="64">
        <f t="shared" si="244"/>
        <v>0</v>
      </c>
      <c r="Z313" s="64">
        <f t="shared" si="244"/>
        <v>0</v>
      </c>
      <c r="AA313" s="64">
        <f t="shared" si="244"/>
        <v>0</v>
      </c>
      <c r="AB313" s="64">
        <f t="shared" si="244"/>
        <v>0</v>
      </c>
      <c r="AC313" s="64">
        <f t="shared" si="244"/>
        <v>0</v>
      </c>
      <c r="AD313" s="64">
        <f t="shared" si="244"/>
        <v>0</v>
      </c>
      <c r="AE313" s="64">
        <f t="shared" si="244"/>
        <v>0</v>
      </c>
      <c r="AF313" s="64">
        <f t="shared" si="244"/>
        <v>0</v>
      </c>
      <c r="AG313" s="64">
        <f t="shared" si="244"/>
        <v>0</v>
      </c>
      <c r="AH313" s="64">
        <f t="shared" si="244"/>
        <v>0</v>
      </c>
      <c r="AI313" s="86">
        <f t="shared" si="244"/>
        <v>0</v>
      </c>
      <c r="FD313" s="59"/>
    </row>
    <row r="314" spans="1:160">
      <c r="A314" s="60" t="str">
        <f>P287</f>
        <v>Anno 12</v>
      </c>
      <c r="B314" s="59" t="s">
        <v>61</v>
      </c>
      <c r="C314" s="88"/>
      <c r="D314" s="52">
        <f>D313</f>
        <v>0</v>
      </c>
      <c r="E314" s="78"/>
      <c r="P314" s="63">
        <f>$D314-P313</f>
        <v>0</v>
      </c>
      <c r="Q314" s="63">
        <f t="shared" ref="Q314:AI314" si="245">IF(P314-Q313&gt;0,P314-Q313,0)</f>
        <v>0</v>
      </c>
      <c r="R314" s="63">
        <f t="shared" si="245"/>
        <v>0</v>
      </c>
      <c r="S314" s="63">
        <f t="shared" si="245"/>
        <v>0</v>
      </c>
      <c r="T314" s="63">
        <f t="shared" si="245"/>
        <v>0</v>
      </c>
      <c r="U314" s="63">
        <f t="shared" si="245"/>
        <v>0</v>
      </c>
      <c r="V314" s="63">
        <f t="shared" si="245"/>
        <v>0</v>
      </c>
      <c r="W314" s="63">
        <f t="shared" si="245"/>
        <v>0</v>
      </c>
      <c r="X314" s="63">
        <f t="shared" si="245"/>
        <v>0</v>
      </c>
      <c r="Y314" s="63">
        <f t="shared" si="245"/>
        <v>0</v>
      </c>
      <c r="Z314" s="63">
        <f t="shared" si="245"/>
        <v>0</v>
      </c>
      <c r="AA314" s="63">
        <f t="shared" si="245"/>
        <v>0</v>
      </c>
      <c r="AB314" s="63">
        <f t="shared" si="245"/>
        <v>0</v>
      </c>
      <c r="AC314" s="63">
        <f t="shared" si="245"/>
        <v>0</v>
      </c>
      <c r="AD314" s="63">
        <f t="shared" si="245"/>
        <v>0</v>
      </c>
      <c r="AE314" s="63">
        <f t="shared" si="245"/>
        <v>0</v>
      </c>
      <c r="AF314" s="63">
        <f t="shared" si="245"/>
        <v>0</v>
      </c>
      <c r="AG314" s="63">
        <f t="shared" si="245"/>
        <v>0</v>
      </c>
      <c r="AH314" s="63">
        <f t="shared" si="245"/>
        <v>0</v>
      </c>
      <c r="AI314" s="79">
        <f t="shared" si="245"/>
        <v>0</v>
      </c>
    </row>
    <row r="315" spans="1:160">
      <c r="A315" s="95" t="str">
        <f>Q287</f>
        <v>Anno 13</v>
      </c>
      <c r="B315" s="80" t="str">
        <f>$B313</f>
        <v>Revisione speciale</v>
      </c>
      <c r="C315" s="81">
        <f>$C$289</f>
        <v>0</v>
      </c>
      <c r="D315" s="52">
        <f>Ipotesi!O34</f>
        <v>0</v>
      </c>
      <c r="E315" s="78"/>
      <c r="Q315" s="64">
        <f>IF($D315*$C315&gt;=$D316,$D316,$D315*$C315)</f>
        <v>0</v>
      </c>
      <c r="R315" s="64">
        <f t="shared" ref="R315:AI315" si="246">IF($D315*$C315&gt;=Q316,Q316,$D315*$C315)</f>
        <v>0</v>
      </c>
      <c r="S315" s="64">
        <f t="shared" si="246"/>
        <v>0</v>
      </c>
      <c r="T315" s="64">
        <f t="shared" si="246"/>
        <v>0</v>
      </c>
      <c r="U315" s="64">
        <f t="shared" si="246"/>
        <v>0</v>
      </c>
      <c r="V315" s="64">
        <f t="shared" si="246"/>
        <v>0</v>
      </c>
      <c r="W315" s="64">
        <f t="shared" si="246"/>
        <v>0</v>
      </c>
      <c r="X315" s="64">
        <f t="shared" si="246"/>
        <v>0</v>
      </c>
      <c r="Y315" s="64">
        <f t="shared" si="246"/>
        <v>0</v>
      </c>
      <c r="Z315" s="64">
        <f t="shared" si="246"/>
        <v>0</v>
      </c>
      <c r="AA315" s="64">
        <f t="shared" si="246"/>
        <v>0</v>
      </c>
      <c r="AB315" s="64">
        <f t="shared" si="246"/>
        <v>0</v>
      </c>
      <c r="AC315" s="64">
        <f t="shared" si="246"/>
        <v>0</v>
      </c>
      <c r="AD315" s="64">
        <f t="shared" si="246"/>
        <v>0</v>
      </c>
      <c r="AE315" s="64">
        <f t="shared" si="246"/>
        <v>0</v>
      </c>
      <c r="AF315" s="64">
        <f t="shared" si="246"/>
        <v>0</v>
      </c>
      <c r="AG315" s="64">
        <f t="shared" si="246"/>
        <v>0</v>
      </c>
      <c r="AH315" s="64">
        <f t="shared" si="246"/>
        <v>0</v>
      </c>
      <c r="AI315" s="86">
        <f t="shared" si="246"/>
        <v>0</v>
      </c>
    </row>
    <row r="316" spans="1:160">
      <c r="A316" s="60" t="str">
        <f>Q287</f>
        <v>Anno 13</v>
      </c>
      <c r="B316" s="59" t="s">
        <v>61</v>
      </c>
      <c r="C316" s="81"/>
      <c r="D316" s="52">
        <f>D315</f>
        <v>0</v>
      </c>
      <c r="E316" s="78"/>
      <c r="Q316" s="63">
        <f>$D316-Q315</f>
        <v>0</v>
      </c>
      <c r="R316" s="63">
        <f t="shared" ref="R316:AI316" si="247">IF(Q316-R315&gt;0,Q316-R315,0)</f>
        <v>0</v>
      </c>
      <c r="S316" s="63">
        <f t="shared" si="247"/>
        <v>0</v>
      </c>
      <c r="T316" s="63">
        <f t="shared" si="247"/>
        <v>0</v>
      </c>
      <c r="U316" s="63">
        <f t="shared" si="247"/>
        <v>0</v>
      </c>
      <c r="V316" s="63">
        <f t="shared" si="247"/>
        <v>0</v>
      </c>
      <c r="W316" s="63">
        <f t="shared" si="247"/>
        <v>0</v>
      </c>
      <c r="X316" s="63">
        <f t="shared" si="247"/>
        <v>0</v>
      </c>
      <c r="Y316" s="63">
        <f t="shared" si="247"/>
        <v>0</v>
      </c>
      <c r="Z316" s="63">
        <f t="shared" si="247"/>
        <v>0</v>
      </c>
      <c r="AA316" s="63">
        <f t="shared" si="247"/>
        <v>0</v>
      </c>
      <c r="AB316" s="63">
        <f t="shared" si="247"/>
        <v>0</v>
      </c>
      <c r="AC316" s="63">
        <f t="shared" si="247"/>
        <v>0</v>
      </c>
      <c r="AD316" s="63">
        <f t="shared" si="247"/>
        <v>0</v>
      </c>
      <c r="AE316" s="63">
        <f t="shared" si="247"/>
        <v>0</v>
      </c>
      <c r="AF316" s="63">
        <f t="shared" si="247"/>
        <v>0</v>
      </c>
      <c r="AG316" s="63">
        <f t="shared" si="247"/>
        <v>0</v>
      </c>
      <c r="AH316" s="63">
        <f t="shared" si="247"/>
        <v>0</v>
      </c>
      <c r="AI316" s="79">
        <f t="shared" si="247"/>
        <v>0</v>
      </c>
    </row>
    <row r="317" spans="1:160">
      <c r="A317" s="95" t="str">
        <f>R287</f>
        <v>Anno 14</v>
      </c>
      <c r="B317" s="80" t="str">
        <f>$B313</f>
        <v>Revisione speciale</v>
      </c>
      <c r="C317" s="81">
        <f>$C$289</f>
        <v>0</v>
      </c>
      <c r="D317" s="52">
        <f>Ipotesi!P34</f>
        <v>0</v>
      </c>
      <c r="E317" s="78"/>
      <c r="Q317" s="64"/>
      <c r="R317" s="64">
        <f>IF($D317*$C317&gt;=$D318,$D318,$D317*$C317)</f>
        <v>0</v>
      </c>
      <c r="S317" s="64">
        <f t="shared" ref="S317:AI317" si="248">IF($D317*$C317&gt;=R318,R318,$D317*$C317)</f>
        <v>0</v>
      </c>
      <c r="T317" s="64">
        <f t="shared" si="248"/>
        <v>0</v>
      </c>
      <c r="U317" s="64">
        <f t="shared" si="248"/>
        <v>0</v>
      </c>
      <c r="V317" s="64">
        <f t="shared" si="248"/>
        <v>0</v>
      </c>
      <c r="W317" s="64">
        <f t="shared" si="248"/>
        <v>0</v>
      </c>
      <c r="X317" s="64">
        <f t="shared" si="248"/>
        <v>0</v>
      </c>
      <c r="Y317" s="64">
        <f t="shared" si="248"/>
        <v>0</v>
      </c>
      <c r="Z317" s="64">
        <f t="shared" si="248"/>
        <v>0</v>
      </c>
      <c r="AA317" s="64">
        <f t="shared" si="248"/>
        <v>0</v>
      </c>
      <c r="AB317" s="64">
        <f t="shared" si="248"/>
        <v>0</v>
      </c>
      <c r="AC317" s="64">
        <f t="shared" si="248"/>
        <v>0</v>
      </c>
      <c r="AD317" s="64">
        <f t="shared" si="248"/>
        <v>0</v>
      </c>
      <c r="AE317" s="64">
        <f t="shared" si="248"/>
        <v>0</v>
      </c>
      <c r="AF317" s="64">
        <f t="shared" si="248"/>
        <v>0</v>
      </c>
      <c r="AG317" s="64">
        <f t="shared" si="248"/>
        <v>0</v>
      </c>
      <c r="AH317" s="64">
        <f t="shared" si="248"/>
        <v>0</v>
      </c>
      <c r="AI317" s="86">
        <f t="shared" si="248"/>
        <v>0</v>
      </c>
    </row>
    <row r="318" spans="1:160">
      <c r="A318" s="60" t="str">
        <f>R287</f>
        <v>Anno 14</v>
      </c>
      <c r="B318" s="59" t="s">
        <v>61</v>
      </c>
      <c r="C318" s="81"/>
      <c r="D318" s="52">
        <f>D317</f>
        <v>0</v>
      </c>
      <c r="E318" s="78"/>
      <c r="Q318" s="63"/>
      <c r="R318" s="63">
        <f>$D318-R317</f>
        <v>0</v>
      </c>
      <c r="S318" s="63">
        <f t="shared" ref="S318:AI318" si="249">IF(R318-S317&gt;0,R318-S317,0)</f>
        <v>0</v>
      </c>
      <c r="T318" s="63">
        <f t="shared" si="249"/>
        <v>0</v>
      </c>
      <c r="U318" s="63">
        <f t="shared" si="249"/>
        <v>0</v>
      </c>
      <c r="V318" s="63">
        <f t="shared" si="249"/>
        <v>0</v>
      </c>
      <c r="W318" s="63">
        <f t="shared" si="249"/>
        <v>0</v>
      </c>
      <c r="X318" s="63">
        <f t="shared" si="249"/>
        <v>0</v>
      </c>
      <c r="Y318" s="63">
        <f t="shared" si="249"/>
        <v>0</v>
      </c>
      <c r="Z318" s="63">
        <f t="shared" si="249"/>
        <v>0</v>
      </c>
      <c r="AA318" s="63">
        <f t="shared" si="249"/>
        <v>0</v>
      </c>
      <c r="AB318" s="63">
        <f t="shared" si="249"/>
        <v>0</v>
      </c>
      <c r="AC318" s="63">
        <f t="shared" si="249"/>
        <v>0</v>
      </c>
      <c r="AD318" s="63">
        <f t="shared" si="249"/>
        <v>0</v>
      </c>
      <c r="AE318" s="63">
        <f t="shared" si="249"/>
        <v>0</v>
      </c>
      <c r="AF318" s="63">
        <f t="shared" si="249"/>
        <v>0</v>
      </c>
      <c r="AG318" s="63">
        <f t="shared" si="249"/>
        <v>0</v>
      </c>
      <c r="AH318" s="63">
        <f t="shared" si="249"/>
        <v>0</v>
      </c>
      <c r="AI318" s="79">
        <f t="shared" si="249"/>
        <v>0</v>
      </c>
    </row>
    <row r="319" spans="1:160">
      <c r="A319" s="95" t="str">
        <f>S287</f>
        <v>Anno 15</v>
      </c>
      <c r="B319" s="80" t="str">
        <f>$B313</f>
        <v>Revisione speciale</v>
      </c>
      <c r="C319" s="81">
        <f>$C$289</f>
        <v>0</v>
      </c>
      <c r="D319" s="52">
        <f>Ipotesi!Q34</f>
        <v>0</v>
      </c>
      <c r="E319" s="78"/>
      <c r="Q319" s="64"/>
      <c r="R319" s="64"/>
      <c r="S319" s="64">
        <f>IF($D319*$C319&gt;=$D320,$D320,$D319*$C319)</f>
        <v>0</v>
      </c>
      <c r="T319" s="64">
        <f t="shared" ref="T319:AI319" si="250">IF($D319*$C319&gt;=S320,S320,$D319*$C319)</f>
        <v>0</v>
      </c>
      <c r="U319" s="64">
        <f t="shared" si="250"/>
        <v>0</v>
      </c>
      <c r="V319" s="64">
        <f t="shared" si="250"/>
        <v>0</v>
      </c>
      <c r="W319" s="64">
        <f t="shared" si="250"/>
        <v>0</v>
      </c>
      <c r="X319" s="64">
        <f t="shared" si="250"/>
        <v>0</v>
      </c>
      <c r="Y319" s="64">
        <f t="shared" si="250"/>
        <v>0</v>
      </c>
      <c r="Z319" s="64">
        <f t="shared" si="250"/>
        <v>0</v>
      </c>
      <c r="AA319" s="64">
        <f t="shared" si="250"/>
        <v>0</v>
      </c>
      <c r="AB319" s="64">
        <f t="shared" si="250"/>
        <v>0</v>
      </c>
      <c r="AC319" s="64">
        <f t="shared" si="250"/>
        <v>0</v>
      </c>
      <c r="AD319" s="64">
        <f t="shared" si="250"/>
        <v>0</v>
      </c>
      <c r="AE319" s="64">
        <f t="shared" si="250"/>
        <v>0</v>
      </c>
      <c r="AF319" s="64">
        <f t="shared" si="250"/>
        <v>0</v>
      </c>
      <c r="AG319" s="64">
        <f t="shared" si="250"/>
        <v>0</v>
      </c>
      <c r="AH319" s="64">
        <f t="shared" si="250"/>
        <v>0</v>
      </c>
      <c r="AI319" s="86">
        <f t="shared" si="250"/>
        <v>0</v>
      </c>
    </row>
    <row r="320" spans="1:160">
      <c r="A320" s="60" t="str">
        <f>S287</f>
        <v>Anno 15</v>
      </c>
      <c r="B320" s="59" t="s">
        <v>61</v>
      </c>
      <c r="C320" s="81"/>
      <c r="D320" s="52">
        <f>D319</f>
        <v>0</v>
      </c>
      <c r="E320" s="78"/>
      <c r="Q320" s="63"/>
      <c r="R320" s="63"/>
      <c r="S320" s="63">
        <f>$D320-S319</f>
        <v>0</v>
      </c>
      <c r="T320" s="63">
        <f t="shared" ref="T320:AI320" si="251">IF(S320-T319&gt;0,S320-T319,0)</f>
        <v>0</v>
      </c>
      <c r="U320" s="63">
        <f t="shared" si="251"/>
        <v>0</v>
      </c>
      <c r="V320" s="63">
        <f t="shared" si="251"/>
        <v>0</v>
      </c>
      <c r="W320" s="63">
        <f t="shared" si="251"/>
        <v>0</v>
      </c>
      <c r="X320" s="63">
        <f t="shared" si="251"/>
        <v>0</v>
      </c>
      <c r="Y320" s="63">
        <f t="shared" si="251"/>
        <v>0</v>
      </c>
      <c r="Z320" s="63">
        <f t="shared" si="251"/>
        <v>0</v>
      </c>
      <c r="AA320" s="63">
        <f t="shared" si="251"/>
        <v>0</v>
      </c>
      <c r="AB320" s="63">
        <f t="shared" si="251"/>
        <v>0</v>
      </c>
      <c r="AC320" s="63">
        <f t="shared" si="251"/>
        <v>0</v>
      </c>
      <c r="AD320" s="63">
        <f t="shared" si="251"/>
        <v>0</v>
      </c>
      <c r="AE320" s="63">
        <f t="shared" si="251"/>
        <v>0</v>
      </c>
      <c r="AF320" s="63">
        <f t="shared" si="251"/>
        <v>0</v>
      </c>
      <c r="AG320" s="63">
        <f t="shared" si="251"/>
        <v>0</v>
      </c>
      <c r="AH320" s="63">
        <f t="shared" si="251"/>
        <v>0</v>
      </c>
      <c r="AI320" s="79">
        <f t="shared" si="251"/>
        <v>0</v>
      </c>
    </row>
    <row r="321" spans="1:35">
      <c r="A321" s="95" t="str">
        <f>T287</f>
        <v>Anno 16</v>
      </c>
      <c r="B321" s="80" t="str">
        <f>$B313</f>
        <v>Revisione speciale</v>
      </c>
      <c r="C321" s="81">
        <f>$C$289</f>
        <v>0</v>
      </c>
      <c r="D321" s="52">
        <f>Ipotesi!R34</f>
        <v>0</v>
      </c>
      <c r="E321" s="78"/>
      <c r="Q321" s="64"/>
      <c r="R321" s="64"/>
      <c r="S321" s="64"/>
      <c r="T321" s="64">
        <f>IF($D321*$C321&gt;=$D322,$D322,$D321*$C321)</f>
        <v>0</v>
      </c>
      <c r="U321" s="64">
        <f t="shared" ref="U321:AI321" si="252">IF($D321*$C321&gt;=T322,T322,$D321*$C321)</f>
        <v>0</v>
      </c>
      <c r="V321" s="64">
        <f t="shared" si="252"/>
        <v>0</v>
      </c>
      <c r="W321" s="64">
        <f t="shared" si="252"/>
        <v>0</v>
      </c>
      <c r="X321" s="64">
        <f t="shared" si="252"/>
        <v>0</v>
      </c>
      <c r="Y321" s="64">
        <f t="shared" si="252"/>
        <v>0</v>
      </c>
      <c r="Z321" s="64">
        <f t="shared" si="252"/>
        <v>0</v>
      </c>
      <c r="AA321" s="64">
        <f t="shared" si="252"/>
        <v>0</v>
      </c>
      <c r="AB321" s="64">
        <f t="shared" si="252"/>
        <v>0</v>
      </c>
      <c r="AC321" s="64">
        <f t="shared" si="252"/>
        <v>0</v>
      </c>
      <c r="AD321" s="64">
        <f t="shared" si="252"/>
        <v>0</v>
      </c>
      <c r="AE321" s="64">
        <f t="shared" si="252"/>
        <v>0</v>
      </c>
      <c r="AF321" s="64">
        <f t="shared" si="252"/>
        <v>0</v>
      </c>
      <c r="AG321" s="64">
        <f t="shared" si="252"/>
        <v>0</v>
      </c>
      <c r="AH321" s="64">
        <f t="shared" si="252"/>
        <v>0</v>
      </c>
      <c r="AI321" s="86">
        <f t="shared" si="252"/>
        <v>0</v>
      </c>
    </row>
    <row r="322" spans="1:35">
      <c r="A322" s="60" t="str">
        <f>T287</f>
        <v>Anno 16</v>
      </c>
      <c r="B322" s="59" t="s">
        <v>61</v>
      </c>
      <c r="C322" s="81"/>
      <c r="D322" s="52">
        <f>D321</f>
        <v>0</v>
      </c>
      <c r="E322" s="78"/>
      <c r="Q322" s="63"/>
      <c r="R322" s="63"/>
      <c r="S322" s="63"/>
      <c r="T322" s="63">
        <f>$D322-T321</f>
        <v>0</v>
      </c>
      <c r="U322" s="63">
        <f t="shared" ref="U322:AI322" si="253">IF(T322-U321&gt;0,T322-U321,0)</f>
        <v>0</v>
      </c>
      <c r="V322" s="63">
        <f t="shared" si="253"/>
        <v>0</v>
      </c>
      <c r="W322" s="63">
        <f t="shared" si="253"/>
        <v>0</v>
      </c>
      <c r="X322" s="63">
        <f t="shared" si="253"/>
        <v>0</v>
      </c>
      <c r="Y322" s="63">
        <f t="shared" si="253"/>
        <v>0</v>
      </c>
      <c r="Z322" s="63">
        <f t="shared" si="253"/>
        <v>0</v>
      </c>
      <c r="AA322" s="63">
        <f t="shared" si="253"/>
        <v>0</v>
      </c>
      <c r="AB322" s="63">
        <f t="shared" si="253"/>
        <v>0</v>
      </c>
      <c r="AC322" s="63">
        <f t="shared" si="253"/>
        <v>0</v>
      </c>
      <c r="AD322" s="63">
        <f t="shared" si="253"/>
        <v>0</v>
      </c>
      <c r="AE322" s="63">
        <f t="shared" si="253"/>
        <v>0</v>
      </c>
      <c r="AF322" s="63">
        <f t="shared" si="253"/>
        <v>0</v>
      </c>
      <c r="AG322" s="63">
        <f t="shared" si="253"/>
        <v>0</v>
      </c>
      <c r="AH322" s="63">
        <f t="shared" si="253"/>
        <v>0</v>
      </c>
      <c r="AI322" s="79">
        <f t="shared" si="253"/>
        <v>0</v>
      </c>
    </row>
    <row r="323" spans="1:35">
      <c r="A323" s="95" t="str">
        <f>U287</f>
        <v>Anno 17</v>
      </c>
      <c r="B323" s="80" t="str">
        <f>$B313</f>
        <v>Revisione speciale</v>
      </c>
      <c r="C323" s="81">
        <f>$C$289</f>
        <v>0</v>
      </c>
      <c r="D323" s="52">
        <f>Ipotesi!S34</f>
        <v>0</v>
      </c>
      <c r="E323" s="78"/>
      <c r="Q323" s="64"/>
      <c r="R323" s="64"/>
      <c r="S323" s="64"/>
      <c r="T323" s="64"/>
      <c r="U323" s="64">
        <f>IF($D323*$C323&gt;=$D324,$D324,$D323*$C323)</f>
        <v>0</v>
      </c>
      <c r="V323" s="64">
        <f t="shared" ref="V323:AI323" si="254">IF($D323*$C323&gt;=U324,U324,$D323*$C323)</f>
        <v>0</v>
      </c>
      <c r="W323" s="64">
        <f t="shared" si="254"/>
        <v>0</v>
      </c>
      <c r="X323" s="64">
        <f t="shared" si="254"/>
        <v>0</v>
      </c>
      <c r="Y323" s="64">
        <f t="shared" si="254"/>
        <v>0</v>
      </c>
      <c r="Z323" s="64">
        <f t="shared" si="254"/>
        <v>0</v>
      </c>
      <c r="AA323" s="64">
        <f t="shared" si="254"/>
        <v>0</v>
      </c>
      <c r="AB323" s="64">
        <f t="shared" si="254"/>
        <v>0</v>
      </c>
      <c r="AC323" s="64">
        <f t="shared" si="254"/>
        <v>0</v>
      </c>
      <c r="AD323" s="64">
        <f t="shared" si="254"/>
        <v>0</v>
      </c>
      <c r="AE323" s="64">
        <f t="shared" si="254"/>
        <v>0</v>
      </c>
      <c r="AF323" s="64">
        <f t="shared" si="254"/>
        <v>0</v>
      </c>
      <c r="AG323" s="64">
        <f t="shared" si="254"/>
        <v>0</v>
      </c>
      <c r="AH323" s="64">
        <f t="shared" si="254"/>
        <v>0</v>
      </c>
      <c r="AI323" s="86">
        <f t="shared" si="254"/>
        <v>0</v>
      </c>
    </row>
    <row r="324" spans="1:35">
      <c r="A324" s="60" t="str">
        <f>U287</f>
        <v>Anno 17</v>
      </c>
      <c r="B324" s="59" t="s">
        <v>61</v>
      </c>
      <c r="C324" s="81"/>
      <c r="D324" s="52">
        <f>D323</f>
        <v>0</v>
      </c>
      <c r="E324" s="78"/>
      <c r="Q324" s="63"/>
      <c r="R324" s="63"/>
      <c r="S324" s="63"/>
      <c r="T324" s="63"/>
      <c r="U324" s="63">
        <f>$D324-U323</f>
        <v>0</v>
      </c>
      <c r="V324" s="63">
        <f t="shared" ref="V324:AI324" si="255">IF(U324-V323&gt;0,U324-V323,0)</f>
        <v>0</v>
      </c>
      <c r="W324" s="63">
        <f t="shared" si="255"/>
        <v>0</v>
      </c>
      <c r="X324" s="63">
        <f t="shared" si="255"/>
        <v>0</v>
      </c>
      <c r="Y324" s="63">
        <f t="shared" si="255"/>
        <v>0</v>
      </c>
      <c r="Z324" s="63">
        <f t="shared" si="255"/>
        <v>0</v>
      </c>
      <c r="AA324" s="63">
        <f t="shared" si="255"/>
        <v>0</v>
      </c>
      <c r="AB324" s="63">
        <f t="shared" si="255"/>
        <v>0</v>
      </c>
      <c r="AC324" s="63">
        <f t="shared" si="255"/>
        <v>0</v>
      </c>
      <c r="AD324" s="63">
        <f t="shared" si="255"/>
        <v>0</v>
      </c>
      <c r="AE324" s="63">
        <f t="shared" si="255"/>
        <v>0</v>
      </c>
      <c r="AF324" s="63">
        <f t="shared" si="255"/>
        <v>0</v>
      </c>
      <c r="AG324" s="63">
        <f t="shared" si="255"/>
        <v>0</v>
      </c>
      <c r="AH324" s="63">
        <f t="shared" si="255"/>
        <v>0</v>
      </c>
      <c r="AI324" s="79">
        <f t="shared" si="255"/>
        <v>0</v>
      </c>
    </row>
    <row r="325" spans="1:35">
      <c r="A325" s="95" t="str">
        <f>V287</f>
        <v>Anno 18</v>
      </c>
      <c r="B325" s="80" t="str">
        <f>$B313</f>
        <v>Revisione speciale</v>
      </c>
      <c r="C325" s="81">
        <f>$C$289</f>
        <v>0</v>
      </c>
      <c r="D325" s="52">
        <f>Ipotesi!T34</f>
        <v>0</v>
      </c>
      <c r="E325" s="78"/>
      <c r="Q325" s="64"/>
      <c r="R325" s="64"/>
      <c r="S325" s="64"/>
      <c r="T325" s="64"/>
      <c r="U325" s="64"/>
      <c r="V325" s="64">
        <f>IF($D325*$C325&gt;=$D326,$D326,$D325*$C325)</f>
        <v>0</v>
      </c>
      <c r="W325" s="64">
        <f t="shared" ref="W325:AI325" si="256">IF($D325*$C325&gt;=V326,V326,$D325*$C325)</f>
        <v>0</v>
      </c>
      <c r="X325" s="64">
        <f t="shared" si="256"/>
        <v>0</v>
      </c>
      <c r="Y325" s="64">
        <f t="shared" si="256"/>
        <v>0</v>
      </c>
      <c r="Z325" s="64">
        <f t="shared" si="256"/>
        <v>0</v>
      </c>
      <c r="AA325" s="64">
        <f t="shared" si="256"/>
        <v>0</v>
      </c>
      <c r="AB325" s="64">
        <f t="shared" si="256"/>
        <v>0</v>
      </c>
      <c r="AC325" s="64">
        <f t="shared" si="256"/>
        <v>0</v>
      </c>
      <c r="AD325" s="64">
        <f t="shared" si="256"/>
        <v>0</v>
      </c>
      <c r="AE325" s="64">
        <f t="shared" si="256"/>
        <v>0</v>
      </c>
      <c r="AF325" s="64">
        <f t="shared" si="256"/>
        <v>0</v>
      </c>
      <c r="AG325" s="64">
        <f t="shared" si="256"/>
        <v>0</v>
      </c>
      <c r="AH325" s="64">
        <f t="shared" si="256"/>
        <v>0</v>
      </c>
      <c r="AI325" s="86">
        <f t="shared" si="256"/>
        <v>0</v>
      </c>
    </row>
    <row r="326" spans="1:35">
      <c r="A326" s="60" t="str">
        <f>V287</f>
        <v>Anno 18</v>
      </c>
      <c r="B326" s="59" t="s">
        <v>61</v>
      </c>
      <c r="C326" s="81"/>
      <c r="D326" s="52">
        <f>D325</f>
        <v>0</v>
      </c>
      <c r="E326" s="78"/>
      <c r="Q326" s="63"/>
      <c r="R326" s="63"/>
      <c r="S326" s="63"/>
      <c r="T326" s="63"/>
      <c r="U326" s="63"/>
      <c r="V326" s="63">
        <f>$D326-V325</f>
        <v>0</v>
      </c>
      <c r="W326" s="63">
        <f t="shared" ref="W326:AI326" si="257">IF(V326-W325&gt;0,V326-W325,0)</f>
        <v>0</v>
      </c>
      <c r="X326" s="63">
        <f t="shared" si="257"/>
        <v>0</v>
      </c>
      <c r="Y326" s="63">
        <f t="shared" si="257"/>
        <v>0</v>
      </c>
      <c r="Z326" s="63">
        <f t="shared" si="257"/>
        <v>0</v>
      </c>
      <c r="AA326" s="63">
        <f t="shared" si="257"/>
        <v>0</v>
      </c>
      <c r="AB326" s="63">
        <f t="shared" si="257"/>
        <v>0</v>
      </c>
      <c r="AC326" s="63">
        <f t="shared" si="257"/>
        <v>0</v>
      </c>
      <c r="AD326" s="63">
        <f t="shared" si="257"/>
        <v>0</v>
      </c>
      <c r="AE326" s="63">
        <f t="shared" si="257"/>
        <v>0</v>
      </c>
      <c r="AF326" s="63">
        <f t="shared" si="257"/>
        <v>0</v>
      </c>
      <c r="AG326" s="63">
        <f t="shared" si="257"/>
        <v>0</v>
      </c>
      <c r="AH326" s="63">
        <f t="shared" si="257"/>
        <v>0</v>
      </c>
      <c r="AI326" s="79">
        <f t="shared" si="257"/>
        <v>0</v>
      </c>
    </row>
    <row r="327" spans="1:35">
      <c r="A327" s="95" t="str">
        <f>W287</f>
        <v>Anno 19</v>
      </c>
      <c r="B327" s="80" t="str">
        <f>$B313</f>
        <v>Revisione speciale</v>
      </c>
      <c r="C327" s="81">
        <f>$C$289</f>
        <v>0</v>
      </c>
      <c r="D327" s="52">
        <f>Ipotesi!U34</f>
        <v>0</v>
      </c>
      <c r="E327" s="78"/>
      <c r="Q327" s="64"/>
      <c r="R327" s="64"/>
      <c r="S327" s="64"/>
      <c r="T327" s="64"/>
      <c r="U327" s="64"/>
      <c r="V327" s="87"/>
      <c r="W327" s="64">
        <f>IF($D327*$C327&gt;=$D328,$D328,$D327*$C327)</f>
        <v>0</v>
      </c>
      <c r="X327" s="64">
        <f t="shared" ref="X327:AI327" si="258">IF($D327*$C327&gt;=W328,W328,$D327*$C327)</f>
        <v>0</v>
      </c>
      <c r="Y327" s="64">
        <f t="shared" si="258"/>
        <v>0</v>
      </c>
      <c r="Z327" s="64">
        <f t="shared" si="258"/>
        <v>0</v>
      </c>
      <c r="AA327" s="64">
        <f t="shared" si="258"/>
        <v>0</v>
      </c>
      <c r="AB327" s="64">
        <f t="shared" si="258"/>
        <v>0</v>
      </c>
      <c r="AC327" s="64">
        <f t="shared" si="258"/>
        <v>0</v>
      </c>
      <c r="AD327" s="64">
        <f t="shared" si="258"/>
        <v>0</v>
      </c>
      <c r="AE327" s="64">
        <f t="shared" si="258"/>
        <v>0</v>
      </c>
      <c r="AF327" s="64">
        <f t="shared" si="258"/>
        <v>0</v>
      </c>
      <c r="AG327" s="64">
        <f t="shared" si="258"/>
        <v>0</v>
      </c>
      <c r="AH327" s="64">
        <f t="shared" si="258"/>
        <v>0</v>
      </c>
      <c r="AI327" s="86">
        <f t="shared" si="258"/>
        <v>0</v>
      </c>
    </row>
    <row r="328" spans="1:35">
      <c r="A328" s="60" t="str">
        <f>W287</f>
        <v>Anno 19</v>
      </c>
      <c r="B328" s="59" t="s">
        <v>61</v>
      </c>
      <c r="C328" s="81"/>
      <c r="D328" s="52">
        <f>D327</f>
        <v>0</v>
      </c>
      <c r="E328" s="78"/>
      <c r="Q328" s="63"/>
      <c r="R328" s="63"/>
      <c r="S328" s="63"/>
      <c r="T328" s="63"/>
      <c r="U328" s="63"/>
      <c r="V328" s="66"/>
      <c r="W328" s="63">
        <f>$D328-W327</f>
        <v>0</v>
      </c>
      <c r="X328" s="63">
        <f t="shared" ref="X328:AI328" si="259">IF(W328-X327&gt;0,W328-X327,0)</f>
        <v>0</v>
      </c>
      <c r="Y328" s="63">
        <f t="shared" si="259"/>
        <v>0</v>
      </c>
      <c r="Z328" s="63">
        <f t="shared" si="259"/>
        <v>0</v>
      </c>
      <c r="AA328" s="63">
        <f t="shared" si="259"/>
        <v>0</v>
      </c>
      <c r="AB328" s="63">
        <f t="shared" si="259"/>
        <v>0</v>
      </c>
      <c r="AC328" s="63">
        <f t="shared" si="259"/>
        <v>0</v>
      </c>
      <c r="AD328" s="63">
        <f t="shared" si="259"/>
        <v>0</v>
      </c>
      <c r="AE328" s="63">
        <f t="shared" si="259"/>
        <v>0</v>
      </c>
      <c r="AF328" s="63">
        <f t="shared" si="259"/>
        <v>0</v>
      </c>
      <c r="AG328" s="63">
        <f t="shared" si="259"/>
        <v>0</v>
      </c>
      <c r="AH328" s="63">
        <f t="shared" si="259"/>
        <v>0</v>
      </c>
      <c r="AI328" s="79">
        <f t="shared" si="259"/>
        <v>0</v>
      </c>
    </row>
    <row r="329" spans="1:35">
      <c r="A329" s="95" t="str">
        <f>X287</f>
        <v>Anno 20</v>
      </c>
      <c r="B329" s="80" t="str">
        <f>$B313</f>
        <v>Revisione speciale</v>
      </c>
      <c r="C329" s="81">
        <f>$C$289</f>
        <v>0</v>
      </c>
      <c r="D329" s="52">
        <f>Ipotesi!V34</f>
        <v>0</v>
      </c>
      <c r="E329" s="78"/>
      <c r="Q329" s="64"/>
      <c r="R329" s="64"/>
      <c r="S329" s="64"/>
      <c r="T329" s="64"/>
      <c r="U329" s="64"/>
      <c r="V329" s="87"/>
      <c r="W329" s="87"/>
      <c r="X329" s="64">
        <f>IF($D329*$C329&gt;=$D330,$D330,$D329*$C329)</f>
        <v>0</v>
      </c>
      <c r="Y329" s="64">
        <f t="shared" ref="Y329:AI329" si="260">IF($D329*$C329&gt;=X330,X330,$D329*$C329)</f>
        <v>0</v>
      </c>
      <c r="Z329" s="64">
        <f t="shared" si="260"/>
        <v>0</v>
      </c>
      <c r="AA329" s="64">
        <f t="shared" si="260"/>
        <v>0</v>
      </c>
      <c r="AB329" s="64">
        <f t="shared" si="260"/>
        <v>0</v>
      </c>
      <c r="AC329" s="64">
        <f t="shared" si="260"/>
        <v>0</v>
      </c>
      <c r="AD329" s="64">
        <f t="shared" si="260"/>
        <v>0</v>
      </c>
      <c r="AE329" s="64">
        <f t="shared" si="260"/>
        <v>0</v>
      </c>
      <c r="AF329" s="64">
        <f t="shared" si="260"/>
        <v>0</v>
      </c>
      <c r="AG329" s="64">
        <f t="shared" si="260"/>
        <v>0</v>
      </c>
      <c r="AH329" s="64">
        <f t="shared" si="260"/>
        <v>0</v>
      </c>
      <c r="AI329" s="86">
        <f t="shared" si="260"/>
        <v>0</v>
      </c>
    </row>
    <row r="330" spans="1:35">
      <c r="A330" s="60" t="str">
        <f>X287</f>
        <v>Anno 20</v>
      </c>
      <c r="B330" s="59" t="s">
        <v>61</v>
      </c>
      <c r="C330" s="81"/>
      <c r="D330" s="52">
        <f>D329</f>
        <v>0</v>
      </c>
      <c r="E330" s="78"/>
      <c r="Q330" s="63"/>
      <c r="R330" s="63"/>
      <c r="S330" s="63"/>
      <c r="T330" s="63"/>
      <c r="U330" s="63"/>
      <c r="V330" s="66"/>
      <c r="W330" s="66"/>
      <c r="X330" s="63">
        <f>$D330-X329</f>
        <v>0</v>
      </c>
      <c r="Y330" s="63">
        <f t="shared" ref="Y330:AI330" si="261">IF(X330-Y329&gt;0,X330-Y329,0)</f>
        <v>0</v>
      </c>
      <c r="Z330" s="63">
        <f t="shared" si="261"/>
        <v>0</v>
      </c>
      <c r="AA330" s="63">
        <f t="shared" si="261"/>
        <v>0</v>
      </c>
      <c r="AB330" s="63">
        <f t="shared" si="261"/>
        <v>0</v>
      </c>
      <c r="AC330" s="63">
        <f t="shared" si="261"/>
        <v>0</v>
      </c>
      <c r="AD330" s="63">
        <f t="shared" si="261"/>
        <v>0</v>
      </c>
      <c r="AE330" s="63">
        <f t="shared" si="261"/>
        <v>0</v>
      </c>
      <c r="AF330" s="63">
        <f t="shared" si="261"/>
        <v>0</v>
      </c>
      <c r="AG330" s="63">
        <f t="shared" si="261"/>
        <v>0</v>
      </c>
      <c r="AH330" s="63">
        <f t="shared" si="261"/>
        <v>0</v>
      </c>
      <c r="AI330" s="79">
        <f t="shared" si="261"/>
        <v>0</v>
      </c>
    </row>
    <row r="331" spans="1:35">
      <c r="A331" s="95" t="str">
        <f>Y287</f>
        <v>Anno 21</v>
      </c>
      <c r="B331" s="80" t="str">
        <f>$B313</f>
        <v>Revisione speciale</v>
      </c>
      <c r="C331" s="81">
        <f>$C$289</f>
        <v>0</v>
      </c>
      <c r="D331" s="52">
        <f>Ipotesi!W34</f>
        <v>0</v>
      </c>
      <c r="E331" s="78"/>
      <c r="Q331" s="64"/>
      <c r="R331" s="64"/>
      <c r="S331" s="64"/>
      <c r="T331" s="64"/>
      <c r="U331" s="64"/>
      <c r="V331" s="87"/>
      <c r="W331" s="87"/>
      <c r="X331" s="87"/>
      <c r="Y331" s="64">
        <f>IF($D331*$C331&gt;=$D332,$D332,$D331*$C331)</f>
        <v>0</v>
      </c>
      <c r="Z331" s="64">
        <f t="shared" ref="Z331:AI331" si="262">IF($D331*$C331&gt;=Y332,Y332,$D331*$C331)</f>
        <v>0</v>
      </c>
      <c r="AA331" s="64">
        <f t="shared" si="262"/>
        <v>0</v>
      </c>
      <c r="AB331" s="64">
        <f t="shared" si="262"/>
        <v>0</v>
      </c>
      <c r="AC331" s="64">
        <f t="shared" si="262"/>
        <v>0</v>
      </c>
      <c r="AD331" s="64">
        <f t="shared" si="262"/>
        <v>0</v>
      </c>
      <c r="AE331" s="64">
        <f t="shared" si="262"/>
        <v>0</v>
      </c>
      <c r="AF331" s="64">
        <f t="shared" si="262"/>
        <v>0</v>
      </c>
      <c r="AG331" s="64">
        <f t="shared" si="262"/>
        <v>0</v>
      </c>
      <c r="AH331" s="64">
        <f t="shared" si="262"/>
        <v>0</v>
      </c>
      <c r="AI331" s="86">
        <f t="shared" si="262"/>
        <v>0</v>
      </c>
    </row>
    <row r="332" spans="1:35">
      <c r="A332" s="60" t="str">
        <f>Y287</f>
        <v>Anno 21</v>
      </c>
      <c r="B332" s="59" t="s">
        <v>61</v>
      </c>
      <c r="C332" s="81"/>
      <c r="D332" s="52">
        <f>D331</f>
        <v>0</v>
      </c>
      <c r="E332" s="78"/>
      <c r="Q332" s="63"/>
      <c r="R332" s="63"/>
      <c r="S332" s="63"/>
      <c r="T332" s="63"/>
      <c r="U332" s="63"/>
      <c r="V332" s="66"/>
      <c r="W332" s="66"/>
      <c r="X332" s="66"/>
      <c r="Y332" s="63">
        <f>$D332-Y331</f>
        <v>0</v>
      </c>
      <c r="Z332" s="63">
        <f t="shared" ref="Z332:AI332" si="263">IF(Y332-Z331&gt;0,Y332-Z331,0)</f>
        <v>0</v>
      </c>
      <c r="AA332" s="63">
        <f t="shared" si="263"/>
        <v>0</v>
      </c>
      <c r="AB332" s="63">
        <f t="shared" si="263"/>
        <v>0</v>
      </c>
      <c r="AC332" s="63">
        <f t="shared" si="263"/>
        <v>0</v>
      </c>
      <c r="AD332" s="63">
        <f t="shared" si="263"/>
        <v>0</v>
      </c>
      <c r="AE332" s="63">
        <f t="shared" si="263"/>
        <v>0</v>
      </c>
      <c r="AF332" s="63">
        <f t="shared" si="263"/>
        <v>0</v>
      </c>
      <c r="AG332" s="63">
        <f t="shared" si="263"/>
        <v>0</v>
      </c>
      <c r="AH332" s="63">
        <f t="shared" si="263"/>
        <v>0</v>
      </c>
      <c r="AI332" s="79">
        <f t="shared" si="263"/>
        <v>0</v>
      </c>
    </row>
    <row r="333" spans="1:35">
      <c r="A333" s="95" t="str">
        <f>Z287</f>
        <v>Anno 22</v>
      </c>
      <c r="B333" s="80" t="str">
        <f>$B313</f>
        <v>Revisione speciale</v>
      </c>
      <c r="C333" s="81">
        <f>$C$289</f>
        <v>0</v>
      </c>
      <c r="D333" s="52">
        <f>Ipotesi!X34</f>
        <v>0</v>
      </c>
      <c r="E333" s="78"/>
      <c r="Q333" s="64"/>
      <c r="R333" s="64"/>
      <c r="S333" s="64"/>
      <c r="T333" s="64"/>
      <c r="U333" s="64"/>
      <c r="V333" s="87"/>
      <c r="W333" s="87"/>
      <c r="X333" s="87"/>
      <c r="Y333" s="87"/>
      <c r="Z333" s="64">
        <f>IF($D333*$C333&gt;=$D334,$D334,$D333*$C333)</f>
        <v>0</v>
      </c>
      <c r="AA333" s="64">
        <f t="shared" ref="AA333:AI333" si="264">IF($D333*$C333&gt;=Z334,Z334,$D333*$C333)</f>
        <v>0</v>
      </c>
      <c r="AB333" s="64">
        <f t="shared" si="264"/>
        <v>0</v>
      </c>
      <c r="AC333" s="64">
        <f t="shared" si="264"/>
        <v>0</v>
      </c>
      <c r="AD333" s="64">
        <f t="shared" si="264"/>
        <v>0</v>
      </c>
      <c r="AE333" s="64">
        <f t="shared" si="264"/>
        <v>0</v>
      </c>
      <c r="AF333" s="64">
        <f t="shared" si="264"/>
        <v>0</v>
      </c>
      <c r="AG333" s="64">
        <f t="shared" si="264"/>
        <v>0</v>
      </c>
      <c r="AH333" s="64">
        <f t="shared" si="264"/>
        <v>0</v>
      </c>
      <c r="AI333" s="86">
        <f t="shared" si="264"/>
        <v>0</v>
      </c>
    </row>
    <row r="334" spans="1:35">
      <c r="A334" s="60" t="str">
        <f>Z287</f>
        <v>Anno 22</v>
      </c>
      <c r="B334" s="59" t="s">
        <v>61</v>
      </c>
      <c r="C334" s="81"/>
      <c r="D334" s="52">
        <f>D333</f>
        <v>0</v>
      </c>
      <c r="E334" s="78"/>
      <c r="Q334" s="63"/>
      <c r="R334" s="63"/>
      <c r="S334" s="63"/>
      <c r="T334" s="63"/>
      <c r="U334" s="63"/>
      <c r="V334" s="66"/>
      <c r="W334" s="66"/>
      <c r="X334" s="66"/>
      <c r="Y334" s="66"/>
      <c r="Z334" s="63">
        <f>$D334-Z333</f>
        <v>0</v>
      </c>
      <c r="AA334" s="63">
        <f t="shared" ref="AA334:AI334" si="265">IF(Z334-AA333&gt;0,Z334-AA333,0)</f>
        <v>0</v>
      </c>
      <c r="AB334" s="63">
        <f t="shared" si="265"/>
        <v>0</v>
      </c>
      <c r="AC334" s="63">
        <f t="shared" si="265"/>
        <v>0</v>
      </c>
      <c r="AD334" s="63">
        <f t="shared" si="265"/>
        <v>0</v>
      </c>
      <c r="AE334" s="63">
        <f t="shared" si="265"/>
        <v>0</v>
      </c>
      <c r="AF334" s="63">
        <f t="shared" si="265"/>
        <v>0</v>
      </c>
      <c r="AG334" s="63">
        <f t="shared" si="265"/>
        <v>0</v>
      </c>
      <c r="AH334" s="63">
        <f t="shared" si="265"/>
        <v>0</v>
      </c>
      <c r="AI334" s="79">
        <f t="shared" si="265"/>
        <v>0</v>
      </c>
    </row>
    <row r="335" spans="1:35">
      <c r="A335" s="95" t="str">
        <f>AA287</f>
        <v>Anno 23</v>
      </c>
      <c r="B335" s="80" t="str">
        <f>$B313</f>
        <v>Revisione speciale</v>
      </c>
      <c r="C335" s="81">
        <f>$C$289</f>
        <v>0</v>
      </c>
      <c r="D335" s="52">
        <f>Ipotesi!Y34</f>
        <v>0</v>
      </c>
      <c r="E335" s="78"/>
      <c r="Q335" s="64"/>
      <c r="R335" s="64"/>
      <c r="S335" s="64"/>
      <c r="T335" s="64"/>
      <c r="U335" s="64"/>
      <c r="V335" s="87"/>
      <c r="W335" s="87"/>
      <c r="X335" s="87"/>
      <c r="Y335" s="87"/>
      <c r="Z335" s="87"/>
      <c r="AA335" s="64">
        <f>IF($D335*$C335&gt;=$D336,$D336,$D335*$C335)</f>
        <v>0</v>
      </c>
      <c r="AB335" s="64">
        <f t="shared" ref="AB335:AI335" si="266">IF($D335*$C335&gt;=AA336,AA336,$D335*$C335)</f>
        <v>0</v>
      </c>
      <c r="AC335" s="64">
        <f t="shared" si="266"/>
        <v>0</v>
      </c>
      <c r="AD335" s="64">
        <f t="shared" si="266"/>
        <v>0</v>
      </c>
      <c r="AE335" s="64">
        <f t="shared" si="266"/>
        <v>0</v>
      </c>
      <c r="AF335" s="64">
        <f t="shared" si="266"/>
        <v>0</v>
      </c>
      <c r="AG335" s="64">
        <f t="shared" si="266"/>
        <v>0</v>
      </c>
      <c r="AH335" s="64">
        <f t="shared" si="266"/>
        <v>0</v>
      </c>
      <c r="AI335" s="86">
        <f t="shared" si="266"/>
        <v>0</v>
      </c>
    </row>
    <row r="336" spans="1:35">
      <c r="A336" s="60" t="str">
        <f>AA287</f>
        <v>Anno 23</v>
      </c>
      <c r="B336" s="59" t="s">
        <v>61</v>
      </c>
      <c r="C336" s="81"/>
      <c r="D336" s="52">
        <f>D335</f>
        <v>0</v>
      </c>
      <c r="E336" s="78"/>
      <c r="Q336" s="63"/>
      <c r="R336" s="63"/>
      <c r="S336" s="63"/>
      <c r="T336" s="63"/>
      <c r="U336" s="63"/>
      <c r="V336" s="66"/>
      <c r="W336" s="66"/>
      <c r="X336" s="66"/>
      <c r="Y336" s="66"/>
      <c r="Z336" s="66"/>
      <c r="AA336" s="63">
        <f>$D336-AA335</f>
        <v>0</v>
      </c>
      <c r="AB336" s="63">
        <f t="shared" ref="AB336:AI336" si="267">IF(AA336-AB335&gt;0,AA336-AB335,0)</f>
        <v>0</v>
      </c>
      <c r="AC336" s="63">
        <f t="shared" si="267"/>
        <v>0</v>
      </c>
      <c r="AD336" s="63">
        <f t="shared" si="267"/>
        <v>0</v>
      </c>
      <c r="AE336" s="63">
        <f t="shared" si="267"/>
        <v>0</v>
      </c>
      <c r="AF336" s="63">
        <f t="shared" si="267"/>
        <v>0</v>
      </c>
      <c r="AG336" s="63">
        <f t="shared" si="267"/>
        <v>0</v>
      </c>
      <c r="AH336" s="63">
        <f t="shared" si="267"/>
        <v>0</v>
      </c>
      <c r="AI336" s="79">
        <f t="shared" si="267"/>
        <v>0</v>
      </c>
    </row>
    <row r="337" spans="1:35">
      <c r="A337" s="95" t="str">
        <f>AB287</f>
        <v>Anno 24</v>
      </c>
      <c r="B337" s="80" t="str">
        <f>$B313</f>
        <v>Revisione speciale</v>
      </c>
      <c r="C337" s="81">
        <f>$C$289</f>
        <v>0</v>
      </c>
      <c r="D337" s="52">
        <f>Ipotesi!Z34</f>
        <v>0</v>
      </c>
      <c r="E337" s="78"/>
      <c r="Q337" s="64"/>
      <c r="R337" s="64"/>
      <c r="S337" s="64"/>
      <c r="T337" s="64"/>
      <c r="U337" s="64"/>
      <c r="V337" s="87"/>
      <c r="W337" s="87"/>
      <c r="X337" s="87"/>
      <c r="Y337" s="87"/>
      <c r="Z337" s="87"/>
      <c r="AA337" s="87"/>
      <c r="AB337" s="64">
        <f>IF($D337*$C337&gt;=$D338,$D338,$D337*$C337)</f>
        <v>0</v>
      </c>
      <c r="AC337" s="64">
        <f t="shared" ref="AC337:AI337" si="268">IF($D337*$C337&gt;=AB338,AB338,$D337*$C337)</f>
        <v>0</v>
      </c>
      <c r="AD337" s="64">
        <f t="shared" si="268"/>
        <v>0</v>
      </c>
      <c r="AE337" s="64">
        <f t="shared" si="268"/>
        <v>0</v>
      </c>
      <c r="AF337" s="64">
        <f t="shared" si="268"/>
        <v>0</v>
      </c>
      <c r="AG337" s="64">
        <f t="shared" si="268"/>
        <v>0</v>
      </c>
      <c r="AH337" s="64">
        <f t="shared" si="268"/>
        <v>0</v>
      </c>
      <c r="AI337" s="86">
        <f t="shared" si="268"/>
        <v>0</v>
      </c>
    </row>
    <row r="338" spans="1:35">
      <c r="A338" s="60" t="str">
        <f>AB287</f>
        <v>Anno 24</v>
      </c>
      <c r="B338" s="59" t="s">
        <v>61</v>
      </c>
      <c r="C338" s="88"/>
      <c r="D338" s="52">
        <f>D337</f>
        <v>0</v>
      </c>
      <c r="E338" s="78"/>
      <c r="Q338" s="63"/>
      <c r="R338" s="63"/>
      <c r="S338" s="63"/>
      <c r="T338" s="63"/>
      <c r="U338" s="63"/>
      <c r="V338" s="66"/>
      <c r="W338" s="66"/>
      <c r="X338" s="66"/>
      <c r="Y338" s="66"/>
      <c r="Z338" s="66"/>
      <c r="AA338" s="66"/>
      <c r="AB338" s="63">
        <f>$D338-AB337</f>
        <v>0</v>
      </c>
      <c r="AC338" s="63">
        <f t="shared" ref="AC338:AI338" si="269">IF(AB338-AC337&gt;0,AB338-AC337,0)</f>
        <v>0</v>
      </c>
      <c r="AD338" s="63">
        <f t="shared" si="269"/>
        <v>0</v>
      </c>
      <c r="AE338" s="63">
        <f t="shared" si="269"/>
        <v>0</v>
      </c>
      <c r="AF338" s="63">
        <f t="shared" si="269"/>
        <v>0</v>
      </c>
      <c r="AG338" s="63">
        <f t="shared" si="269"/>
        <v>0</v>
      </c>
      <c r="AH338" s="63">
        <f t="shared" si="269"/>
        <v>0</v>
      </c>
      <c r="AI338" s="79">
        <f t="shared" si="269"/>
        <v>0</v>
      </c>
    </row>
    <row r="339" spans="1:35">
      <c r="A339" s="95" t="str">
        <f>AC287</f>
        <v>Anno 25</v>
      </c>
      <c r="B339" s="80" t="str">
        <f>$B337</f>
        <v>Revisione speciale</v>
      </c>
      <c r="C339" s="81">
        <f>$C$289</f>
        <v>0</v>
      </c>
      <c r="D339" s="52">
        <f>Ipotesi!AA34</f>
        <v>0</v>
      </c>
      <c r="E339" s="78"/>
      <c r="AC339" s="64">
        <f>IF($D339*$C339&gt;=$D340,$D340,$D339*$C339)</f>
        <v>0</v>
      </c>
      <c r="AD339" s="64">
        <f t="shared" ref="AD339:AI339" si="270">IF($D339*$C339&gt;=AC340,AC340,$D339*$C339)</f>
        <v>0</v>
      </c>
      <c r="AE339" s="64">
        <f t="shared" si="270"/>
        <v>0</v>
      </c>
      <c r="AF339" s="64">
        <f t="shared" si="270"/>
        <v>0</v>
      </c>
      <c r="AG339" s="64">
        <f t="shared" si="270"/>
        <v>0</v>
      </c>
      <c r="AH339" s="64">
        <f t="shared" si="270"/>
        <v>0</v>
      </c>
      <c r="AI339" s="86">
        <f t="shared" si="270"/>
        <v>0</v>
      </c>
    </row>
    <row r="340" spans="1:35">
      <c r="A340" s="60" t="str">
        <f>AC287</f>
        <v>Anno 25</v>
      </c>
      <c r="B340" s="59" t="s">
        <v>61</v>
      </c>
      <c r="C340" s="81"/>
      <c r="D340" s="52">
        <f>D339</f>
        <v>0</v>
      </c>
      <c r="E340" s="78"/>
      <c r="AC340" s="63">
        <f>$D340-AC339</f>
        <v>0</v>
      </c>
      <c r="AD340" s="63">
        <f t="shared" ref="AD340:AI340" si="271">IF(AC340-AD339&gt;0,AC340-AD339,0)</f>
        <v>0</v>
      </c>
      <c r="AE340" s="63">
        <f t="shared" si="271"/>
        <v>0</v>
      </c>
      <c r="AF340" s="63">
        <f t="shared" si="271"/>
        <v>0</v>
      </c>
      <c r="AG340" s="63">
        <f t="shared" si="271"/>
        <v>0</v>
      </c>
      <c r="AH340" s="63">
        <f t="shared" si="271"/>
        <v>0</v>
      </c>
      <c r="AI340" s="79">
        <f t="shared" si="271"/>
        <v>0</v>
      </c>
    </row>
    <row r="341" spans="1:35">
      <c r="A341" s="95" t="str">
        <f>AD287</f>
        <v>Anno 26</v>
      </c>
      <c r="B341" s="80" t="str">
        <f>$B337</f>
        <v>Revisione speciale</v>
      </c>
      <c r="C341" s="81">
        <f>$C$289</f>
        <v>0</v>
      </c>
      <c r="D341" s="52">
        <f>Ipotesi!AB34</f>
        <v>0</v>
      </c>
      <c r="E341" s="78"/>
      <c r="AC341" s="64"/>
      <c r="AD341" s="64">
        <f>IF($D341*$C341&gt;=$D342,$D342,$D341*$C341)</f>
        <v>0</v>
      </c>
      <c r="AE341" s="64">
        <f>IF($D341*$C341&gt;=AD342,AD342,$D341*$C341)</f>
        <v>0</v>
      </c>
      <c r="AF341" s="64">
        <f>IF($D341*$C341&gt;=AE342,AE342,$D341*$C341)</f>
        <v>0</v>
      </c>
      <c r="AG341" s="64">
        <f>IF($D341*$C341&gt;=AF342,AF342,$D341*$C341)</f>
        <v>0</v>
      </c>
      <c r="AH341" s="64">
        <f>IF($D341*$C341&gt;=AG342,AG342,$D341*$C341)</f>
        <v>0</v>
      </c>
      <c r="AI341" s="86">
        <f>IF($D341*$C341&gt;=AH342,AH342,$D341*$C341)</f>
        <v>0</v>
      </c>
    </row>
    <row r="342" spans="1:35">
      <c r="A342" s="60" t="str">
        <f>AD287</f>
        <v>Anno 26</v>
      </c>
      <c r="B342" s="59" t="s">
        <v>61</v>
      </c>
      <c r="C342" s="81"/>
      <c r="D342" s="52">
        <f>D341</f>
        <v>0</v>
      </c>
      <c r="E342" s="78"/>
      <c r="AC342" s="63"/>
      <c r="AD342" s="63">
        <f>$D342-AD341</f>
        <v>0</v>
      </c>
      <c r="AE342" s="63">
        <f>IF(AD342-AE341&gt;0,AD342-AE341,0)</f>
        <v>0</v>
      </c>
      <c r="AF342" s="63">
        <f>IF(AE342-AF341&gt;0,AE342-AF341,0)</f>
        <v>0</v>
      </c>
      <c r="AG342" s="63">
        <f>IF(AF342-AG341&gt;0,AF342-AG341,0)</f>
        <v>0</v>
      </c>
      <c r="AH342" s="63">
        <f>IF(AG342-AH341&gt;0,AG342-AH341,0)</f>
        <v>0</v>
      </c>
      <c r="AI342" s="79">
        <f>IF(AH342-AI341&gt;0,AH342-AI341,0)</f>
        <v>0</v>
      </c>
    </row>
    <row r="343" spans="1:35">
      <c r="A343" s="95" t="str">
        <f>AE287</f>
        <v>Anno 27</v>
      </c>
      <c r="B343" s="80" t="str">
        <f>$B337</f>
        <v>Revisione speciale</v>
      </c>
      <c r="C343" s="81">
        <f>$C$289</f>
        <v>0</v>
      </c>
      <c r="D343" s="52">
        <f>Ipotesi!AC34</f>
        <v>0</v>
      </c>
      <c r="E343" s="78"/>
      <c r="AC343" s="64"/>
      <c r="AD343" s="64"/>
      <c r="AE343" s="64">
        <f>IF($D343*$C343&gt;=$D344,$D344,$D343*$C343)</f>
        <v>0</v>
      </c>
      <c r="AF343" s="64">
        <f>IF($D343*$C343&gt;=AE344,AE344,$D343*$C343)</f>
        <v>0</v>
      </c>
      <c r="AG343" s="64">
        <f>IF($D343*$C343&gt;=AF344,AF344,$D343*$C343)</f>
        <v>0</v>
      </c>
      <c r="AH343" s="64">
        <f>IF($D343*$C343&gt;=AG344,AG344,$D343*$C343)</f>
        <v>0</v>
      </c>
      <c r="AI343" s="86">
        <f>IF($D343*$C343&gt;=AH344,AH344,$D343*$C343)</f>
        <v>0</v>
      </c>
    </row>
    <row r="344" spans="1:35">
      <c r="A344" s="60" t="str">
        <f>AE287</f>
        <v>Anno 27</v>
      </c>
      <c r="B344" s="59" t="s">
        <v>61</v>
      </c>
      <c r="C344" s="81"/>
      <c r="D344" s="52">
        <f>D343</f>
        <v>0</v>
      </c>
      <c r="E344" s="78"/>
      <c r="AC344" s="63"/>
      <c r="AD344" s="63"/>
      <c r="AE344" s="63">
        <f>$D344-AE343</f>
        <v>0</v>
      </c>
      <c r="AF344" s="63">
        <f>IF(AE344-AF343&gt;0,AE344-AF343,0)</f>
        <v>0</v>
      </c>
      <c r="AG344" s="63">
        <f>IF(AF344-AG343&gt;0,AF344-AG343,0)</f>
        <v>0</v>
      </c>
      <c r="AH344" s="63">
        <f>IF(AG344-AH343&gt;0,AG344-AH343,0)</f>
        <v>0</v>
      </c>
      <c r="AI344" s="79">
        <f>IF(AH344-AI343&gt;0,AH344-AI343,0)</f>
        <v>0</v>
      </c>
    </row>
    <row r="345" spans="1:35">
      <c r="A345" s="95" t="str">
        <f>AF287</f>
        <v>Anno 28</v>
      </c>
      <c r="B345" s="80" t="str">
        <f>$B337</f>
        <v>Revisione speciale</v>
      </c>
      <c r="C345" s="81">
        <f>$C$289</f>
        <v>0</v>
      </c>
      <c r="D345" s="52">
        <f>Ipotesi!AD34</f>
        <v>0</v>
      </c>
      <c r="E345" s="78"/>
      <c r="AC345" s="64"/>
      <c r="AD345" s="64"/>
      <c r="AE345" s="64"/>
      <c r="AF345" s="64">
        <f>IF($D345*$C345&gt;=$D346,$D346,$D345*$C345)</f>
        <v>0</v>
      </c>
      <c r="AG345" s="64">
        <f>IF($D345*$C345&gt;=AF346,AF346,$D345*$C345)</f>
        <v>0</v>
      </c>
      <c r="AH345" s="64">
        <f>IF($D345*$C345&gt;=AG346,AG346,$D345*$C345)</f>
        <v>0</v>
      </c>
      <c r="AI345" s="86">
        <f>IF($D345*$C345&gt;=AH346,AH346,$D345*$C345)</f>
        <v>0</v>
      </c>
    </row>
    <row r="346" spans="1:35">
      <c r="A346" s="60" t="str">
        <f>AF287</f>
        <v>Anno 28</v>
      </c>
      <c r="B346" s="59" t="s">
        <v>61</v>
      </c>
      <c r="C346" s="81"/>
      <c r="D346" s="52">
        <f>D345</f>
        <v>0</v>
      </c>
      <c r="E346" s="78"/>
      <c r="AC346" s="63"/>
      <c r="AD346" s="63"/>
      <c r="AE346" s="63"/>
      <c r="AF346" s="63">
        <f>$D346-AF345</f>
        <v>0</v>
      </c>
      <c r="AG346" s="63">
        <f>IF(AF346-AG345&gt;0,AF346-AG345,0)</f>
        <v>0</v>
      </c>
      <c r="AH346" s="63">
        <f>IF(AG346-AH345&gt;0,AG346-AH345,0)</f>
        <v>0</v>
      </c>
      <c r="AI346" s="79">
        <f>IF(AH346-AI345&gt;0,AH346-AI345,0)</f>
        <v>0</v>
      </c>
    </row>
    <row r="347" spans="1:35">
      <c r="A347" s="95" t="str">
        <f>AG287</f>
        <v>Anno 29</v>
      </c>
      <c r="B347" s="80" t="str">
        <f>$B337</f>
        <v>Revisione speciale</v>
      </c>
      <c r="C347" s="81">
        <f>$C$289</f>
        <v>0</v>
      </c>
      <c r="D347" s="52">
        <f>Ipotesi!AE34</f>
        <v>0</v>
      </c>
      <c r="E347" s="78"/>
      <c r="AC347" s="64"/>
      <c r="AD347" s="64"/>
      <c r="AE347" s="64"/>
      <c r="AF347" s="64"/>
      <c r="AG347" s="64">
        <f>IF($D347*$C347&gt;=$D348,$D348,$D347*$C347)</f>
        <v>0</v>
      </c>
      <c r="AH347" s="64">
        <f>IF($D347*$C347&gt;=AG348,AG348,$D347*$C347)</f>
        <v>0</v>
      </c>
      <c r="AI347" s="86">
        <f>IF($D347*$C347&gt;=AH348,AH348,$D347*$C347)</f>
        <v>0</v>
      </c>
    </row>
    <row r="348" spans="1:35">
      <c r="A348" s="60" t="str">
        <f>AG287</f>
        <v>Anno 29</v>
      </c>
      <c r="B348" s="59" t="s">
        <v>61</v>
      </c>
      <c r="C348" s="81"/>
      <c r="D348" s="52">
        <f>D347</f>
        <v>0</v>
      </c>
      <c r="E348" s="78"/>
      <c r="AC348" s="63"/>
      <c r="AD348" s="63"/>
      <c r="AE348" s="63"/>
      <c r="AF348" s="63"/>
      <c r="AG348" s="63">
        <f>$D348-AG347</f>
        <v>0</v>
      </c>
      <c r="AH348" s="63">
        <f>IF(AG348-AH347&gt;0,AG348-AH347,0)</f>
        <v>0</v>
      </c>
      <c r="AI348" s="79">
        <f>IF(AH348-AI347&gt;0,AH348-AI347,0)</f>
        <v>0</v>
      </c>
    </row>
    <row r="349" spans="1:35">
      <c r="A349" s="95" t="str">
        <f>AH287</f>
        <v>Anno 30</v>
      </c>
      <c r="B349" s="80" t="str">
        <f>$B337</f>
        <v>Revisione speciale</v>
      </c>
      <c r="C349" s="81">
        <f>$C$289</f>
        <v>0</v>
      </c>
      <c r="D349" s="52">
        <f>Ipotesi!AF34</f>
        <v>0</v>
      </c>
      <c r="E349" s="78"/>
      <c r="AC349" s="64"/>
      <c r="AD349" s="64"/>
      <c r="AE349" s="64"/>
      <c r="AF349" s="64"/>
      <c r="AG349" s="64"/>
      <c r="AH349" s="64">
        <f>IF($D349*$C349&gt;=$D350,$D350,$D349*$C349)</f>
        <v>0</v>
      </c>
      <c r="AI349" s="86">
        <f>IF($D349*$C349&gt;=AH350,AH350,$D349*$C349)</f>
        <v>0</v>
      </c>
    </row>
    <row r="350" spans="1:35">
      <c r="A350" s="60" t="str">
        <f>AH287</f>
        <v>Anno 30</v>
      </c>
      <c r="B350" s="59" t="s">
        <v>61</v>
      </c>
      <c r="C350" s="81"/>
      <c r="D350" s="52">
        <f>D349</f>
        <v>0</v>
      </c>
      <c r="E350" s="78"/>
      <c r="AC350" s="63"/>
      <c r="AD350" s="63"/>
      <c r="AE350" s="63"/>
      <c r="AF350" s="63"/>
      <c r="AG350" s="63"/>
      <c r="AH350" s="63">
        <f>$D350-AH349</f>
        <v>0</v>
      </c>
      <c r="AI350" s="79">
        <f>IF(AH350-AI349&gt;0,AH350-AI349,0)</f>
        <v>0</v>
      </c>
    </row>
    <row r="351" spans="1:35">
      <c r="A351" s="95" t="str">
        <f>AI287</f>
        <v>Anno 31</v>
      </c>
      <c r="B351" s="80" t="str">
        <f>$B337</f>
        <v>Revisione speciale</v>
      </c>
      <c r="C351" s="81">
        <f>$C$289</f>
        <v>0</v>
      </c>
      <c r="D351" s="52"/>
      <c r="E351" s="78"/>
      <c r="AC351" s="64"/>
      <c r="AD351" s="64"/>
      <c r="AE351" s="64"/>
      <c r="AF351" s="64"/>
      <c r="AG351" s="64"/>
      <c r="AH351" s="87"/>
      <c r="AI351" s="86">
        <f>IF($D351*$C351&gt;=$D352,$D352,$D351*$C351)</f>
        <v>0</v>
      </c>
    </row>
    <row r="352" spans="1:35">
      <c r="A352" s="60" t="str">
        <f>AI287</f>
        <v>Anno 31</v>
      </c>
      <c r="B352" s="59" t="s">
        <v>61</v>
      </c>
      <c r="C352" s="81"/>
      <c r="D352" s="52">
        <f>D351</f>
        <v>0</v>
      </c>
      <c r="E352" s="89"/>
      <c r="F352" s="90"/>
      <c r="G352" s="90"/>
      <c r="H352" s="90"/>
      <c r="I352" s="90"/>
      <c r="J352" s="91"/>
      <c r="K352" s="91"/>
      <c r="L352" s="91"/>
      <c r="M352" s="91"/>
      <c r="N352" s="91"/>
      <c r="O352" s="91"/>
      <c r="P352" s="91"/>
      <c r="Q352" s="92"/>
      <c r="R352" s="93"/>
      <c r="S352" s="93"/>
      <c r="T352" s="93"/>
      <c r="U352" s="93"/>
      <c r="V352" s="93"/>
      <c r="W352" s="93"/>
      <c r="X352" s="93"/>
      <c r="Y352" s="93"/>
      <c r="Z352" s="93"/>
      <c r="AA352" s="93"/>
      <c r="AB352" s="93"/>
      <c r="AC352" s="90"/>
      <c r="AD352" s="90"/>
      <c r="AE352" s="90"/>
      <c r="AF352" s="90"/>
      <c r="AG352" s="90"/>
      <c r="AH352" s="91"/>
      <c r="AI352" s="94">
        <f>$D352-AI351</f>
        <v>0</v>
      </c>
    </row>
    <row r="353" spans="1:36" s="80" customFormat="1">
      <c r="A353" s="95"/>
      <c r="B353" s="96" t="s">
        <v>66</v>
      </c>
      <c r="C353" s="97"/>
      <c r="D353" s="54"/>
      <c r="E353" s="98">
        <f t="shared" ref="E353:AI354" si="272">E289+E291+E293+E295+E297+E299+E301+E303+E305+E307+E309+E311+E313+E315+E317+E319+E321+E323+E325+E327+E329+E331+E333+E335+E337+E339+E341+E343+E345+E347+E349+E351</f>
        <v>0</v>
      </c>
      <c r="F353" s="98">
        <f t="shared" si="272"/>
        <v>0</v>
      </c>
      <c r="G353" s="98">
        <f t="shared" si="272"/>
        <v>0</v>
      </c>
      <c r="H353" s="98">
        <f t="shared" si="272"/>
        <v>0</v>
      </c>
      <c r="I353" s="98">
        <f t="shared" si="272"/>
        <v>0</v>
      </c>
      <c r="J353" s="98">
        <f t="shared" si="272"/>
        <v>0</v>
      </c>
      <c r="K353" s="98">
        <f t="shared" si="272"/>
        <v>0</v>
      </c>
      <c r="L353" s="98">
        <f t="shared" si="272"/>
        <v>0</v>
      </c>
      <c r="M353" s="98">
        <f t="shared" si="272"/>
        <v>0</v>
      </c>
      <c r="N353" s="98">
        <f t="shared" si="272"/>
        <v>0</v>
      </c>
      <c r="O353" s="98">
        <f t="shared" si="272"/>
        <v>0</v>
      </c>
      <c r="P353" s="98">
        <f t="shared" si="272"/>
        <v>0</v>
      </c>
      <c r="Q353" s="98">
        <f t="shared" si="272"/>
        <v>0</v>
      </c>
      <c r="R353" s="98">
        <f t="shared" si="272"/>
        <v>0</v>
      </c>
      <c r="S353" s="98">
        <f t="shared" si="272"/>
        <v>0</v>
      </c>
      <c r="T353" s="98">
        <f t="shared" si="272"/>
        <v>0</v>
      </c>
      <c r="U353" s="98">
        <f t="shared" si="272"/>
        <v>0</v>
      </c>
      <c r="V353" s="98">
        <f t="shared" si="272"/>
        <v>0</v>
      </c>
      <c r="W353" s="98">
        <f t="shared" si="272"/>
        <v>0</v>
      </c>
      <c r="X353" s="98">
        <f t="shared" si="272"/>
        <v>0</v>
      </c>
      <c r="Y353" s="98">
        <f t="shared" si="272"/>
        <v>0</v>
      </c>
      <c r="Z353" s="98">
        <f t="shared" si="272"/>
        <v>0</v>
      </c>
      <c r="AA353" s="98">
        <f t="shared" si="272"/>
        <v>0</v>
      </c>
      <c r="AB353" s="98">
        <f t="shared" si="272"/>
        <v>0</v>
      </c>
      <c r="AC353" s="98">
        <f t="shared" si="272"/>
        <v>0</v>
      </c>
      <c r="AD353" s="98">
        <f t="shared" si="272"/>
        <v>0</v>
      </c>
      <c r="AE353" s="98">
        <f t="shared" si="272"/>
        <v>0</v>
      </c>
      <c r="AF353" s="98">
        <f t="shared" si="272"/>
        <v>0</v>
      </c>
      <c r="AG353" s="98">
        <f t="shared" si="272"/>
        <v>0</v>
      </c>
      <c r="AH353" s="98">
        <f t="shared" si="272"/>
        <v>0</v>
      </c>
      <c r="AI353" s="99">
        <f t="shared" si="272"/>
        <v>0</v>
      </c>
      <c r="AJ353" s="64">
        <f>SUM(E353:AI353)</f>
        <v>0</v>
      </c>
    </row>
    <row r="354" spans="1:36">
      <c r="B354" s="100" t="s">
        <v>67</v>
      </c>
      <c r="C354" s="101"/>
      <c r="D354" s="55"/>
      <c r="E354" s="89">
        <f t="shared" si="272"/>
        <v>0</v>
      </c>
      <c r="F354" s="89">
        <f t="shared" si="272"/>
        <v>0</v>
      </c>
      <c r="G354" s="89">
        <f t="shared" si="272"/>
        <v>0</v>
      </c>
      <c r="H354" s="89">
        <f t="shared" si="272"/>
        <v>0</v>
      </c>
      <c r="I354" s="89">
        <f t="shared" si="272"/>
        <v>0</v>
      </c>
      <c r="J354" s="89">
        <f t="shared" si="272"/>
        <v>0</v>
      </c>
      <c r="K354" s="89">
        <f t="shared" si="272"/>
        <v>0</v>
      </c>
      <c r="L354" s="89">
        <f t="shared" si="272"/>
        <v>0</v>
      </c>
      <c r="M354" s="89">
        <f t="shared" si="272"/>
        <v>0</v>
      </c>
      <c r="N354" s="89">
        <f t="shared" si="272"/>
        <v>0</v>
      </c>
      <c r="O354" s="89">
        <f t="shared" si="272"/>
        <v>0</v>
      </c>
      <c r="P354" s="89">
        <f t="shared" si="272"/>
        <v>0</v>
      </c>
      <c r="Q354" s="89">
        <f t="shared" si="272"/>
        <v>0</v>
      </c>
      <c r="R354" s="89">
        <f t="shared" si="272"/>
        <v>0</v>
      </c>
      <c r="S354" s="89">
        <f t="shared" si="272"/>
        <v>0</v>
      </c>
      <c r="T354" s="89">
        <f t="shared" si="272"/>
        <v>0</v>
      </c>
      <c r="U354" s="89">
        <f t="shared" si="272"/>
        <v>0</v>
      </c>
      <c r="V354" s="89">
        <f t="shared" si="272"/>
        <v>0</v>
      </c>
      <c r="W354" s="89">
        <f t="shared" si="272"/>
        <v>0</v>
      </c>
      <c r="X354" s="89">
        <f t="shared" si="272"/>
        <v>0</v>
      </c>
      <c r="Y354" s="89">
        <f t="shared" si="272"/>
        <v>0</v>
      </c>
      <c r="Z354" s="89">
        <f t="shared" si="272"/>
        <v>0</v>
      </c>
      <c r="AA354" s="89">
        <f t="shared" si="272"/>
        <v>0</v>
      </c>
      <c r="AB354" s="89">
        <f t="shared" si="272"/>
        <v>0</v>
      </c>
      <c r="AC354" s="89">
        <f t="shared" si="272"/>
        <v>0</v>
      </c>
      <c r="AD354" s="89">
        <f t="shared" si="272"/>
        <v>0</v>
      </c>
      <c r="AE354" s="89">
        <f t="shared" si="272"/>
        <v>0</v>
      </c>
      <c r="AF354" s="89">
        <f t="shared" si="272"/>
        <v>0</v>
      </c>
      <c r="AG354" s="89">
        <f t="shared" si="272"/>
        <v>0</v>
      </c>
      <c r="AH354" s="89">
        <f t="shared" si="272"/>
        <v>0</v>
      </c>
      <c r="AI354" s="102">
        <f t="shared" si="272"/>
        <v>0</v>
      </c>
    </row>
    <row r="355" spans="1:36" s="80" customFormat="1">
      <c r="A355" s="95"/>
      <c r="B355" s="96" t="s">
        <v>70</v>
      </c>
      <c r="C355" s="97"/>
      <c r="D355" s="56"/>
      <c r="E355" s="103">
        <f>D291</f>
        <v>0</v>
      </c>
      <c r="F355" s="103">
        <f>D293</f>
        <v>0</v>
      </c>
      <c r="G355" s="103">
        <f>D295</f>
        <v>0</v>
      </c>
      <c r="H355" s="103">
        <f>D297</f>
        <v>0</v>
      </c>
      <c r="I355" s="103">
        <f>D299</f>
        <v>0</v>
      </c>
      <c r="J355" s="104">
        <f>$D301</f>
        <v>0</v>
      </c>
      <c r="K355" s="104">
        <f>$D303</f>
        <v>0</v>
      </c>
      <c r="L355" s="104">
        <f>$D305</f>
        <v>0</v>
      </c>
      <c r="M355" s="104">
        <f>$D307</f>
        <v>0</v>
      </c>
      <c r="N355" s="104">
        <f>$D309</f>
        <v>0</v>
      </c>
      <c r="O355" s="104">
        <f>$D311</f>
        <v>0</v>
      </c>
      <c r="P355" s="104">
        <f>$D313</f>
        <v>0</v>
      </c>
      <c r="Q355" s="104">
        <f>$D315</f>
        <v>0</v>
      </c>
      <c r="R355" s="104">
        <f>$D317</f>
        <v>0</v>
      </c>
      <c r="S355" s="104">
        <f>$D319</f>
        <v>0</v>
      </c>
      <c r="T355" s="104">
        <f>$D321</f>
        <v>0</v>
      </c>
      <c r="U355" s="104">
        <f>$D323</f>
        <v>0</v>
      </c>
      <c r="V355" s="104">
        <f>$D325</f>
        <v>0</v>
      </c>
      <c r="W355" s="104">
        <f>$D327</f>
        <v>0</v>
      </c>
      <c r="X355" s="104">
        <f>$D329</f>
        <v>0</v>
      </c>
      <c r="Y355" s="104">
        <f>$D331</f>
        <v>0</v>
      </c>
      <c r="Z355" s="104">
        <f>$D333</f>
        <v>0</v>
      </c>
      <c r="AA355" s="104">
        <f>$D335</f>
        <v>0</v>
      </c>
      <c r="AB355" s="104">
        <f>$D337</f>
        <v>0</v>
      </c>
      <c r="AC355" s="104">
        <f>$D339</f>
        <v>0</v>
      </c>
      <c r="AD355" s="104">
        <f>$D341</f>
        <v>0</v>
      </c>
      <c r="AE355" s="104">
        <f>$D343</f>
        <v>0</v>
      </c>
      <c r="AF355" s="104">
        <f>$D345</f>
        <v>0</v>
      </c>
      <c r="AG355" s="104">
        <f>$D347</f>
        <v>0</v>
      </c>
      <c r="AH355" s="104">
        <f>$D349</f>
        <v>0</v>
      </c>
      <c r="AI355" s="104">
        <f>$D351</f>
        <v>0</v>
      </c>
      <c r="AJ355" s="64">
        <f>SUM(E355:AI355)</f>
        <v>0</v>
      </c>
    </row>
    <row r="356" spans="1:36">
      <c r="B356" s="105" t="s">
        <v>71</v>
      </c>
      <c r="C356" s="106"/>
      <c r="D356" s="57"/>
      <c r="E356" s="107">
        <f>E355</f>
        <v>0</v>
      </c>
      <c r="F356" s="107">
        <f t="shared" ref="F356:AI356" si="273">E356+F355</f>
        <v>0</v>
      </c>
      <c r="G356" s="107">
        <f t="shared" si="273"/>
        <v>0</v>
      </c>
      <c r="H356" s="107">
        <f t="shared" si="273"/>
        <v>0</v>
      </c>
      <c r="I356" s="107">
        <f t="shared" si="273"/>
        <v>0</v>
      </c>
      <c r="J356" s="107">
        <f t="shared" si="273"/>
        <v>0</v>
      </c>
      <c r="K356" s="107">
        <f t="shared" si="273"/>
        <v>0</v>
      </c>
      <c r="L356" s="107">
        <f t="shared" si="273"/>
        <v>0</v>
      </c>
      <c r="M356" s="107">
        <f t="shared" si="273"/>
        <v>0</v>
      </c>
      <c r="N356" s="107">
        <f t="shared" si="273"/>
        <v>0</v>
      </c>
      <c r="O356" s="107">
        <f t="shared" si="273"/>
        <v>0</v>
      </c>
      <c r="P356" s="107">
        <f t="shared" si="273"/>
        <v>0</v>
      </c>
      <c r="Q356" s="107">
        <f t="shared" si="273"/>
        <v>0</v>
      </c>
      <c r="R356" s="107">
        <f t="shared" si="273"/>
        <v>0</v>
      </c>
      <c r="S356" s="107">
        <f t="shared" si="273"/>
        <v>0</v>
      </c>
      <c r="T356" s="107">
        <f t="shared" si="273"/>
        <v>0</v>
      </c>
      <c r="U356" s="107">
        <f t="shared" si="273"/>
        <v>0</v>
      </c>
      <c r="V356" s="107">
        <f t="shared" si="273"/>
        <v>0</v>
      </c>
      <c r="W356" s="107">
        <f t="shared" si="273"/>
        <v>0</v>
      </c>
      <c r="X356" s="107">
        <f t="shared" si="273"/>
        <v>0</v>
      </c>
      <c r="Y356" s="107">
        <f t="shared" si="273"/>
        <v>0</v>
      </c>
      <c r="Z356" s="107">
        <f t="shared" si="273"/>
        <v>0</v>
      </c>
      <c r="AA356" s="107">
        <f t="shared" si="273"/>
        <v>0</v>
      </c>
      <c r="AB356" s="107">
        <f t="shared" si="273"/>
        <v>0</v>
      </c>
      <c r="AC356" s="107">
        <f t="shared" si="273"/>
        <v>0</v>
      </c>
      <c r="AD356" s="107">
        <f t="shared" si="273"/>
        <v>0</v>
      </c>
      <c r="AE356" s="107">
        <f t="shared" si="273"/>
        <v>0</v>
      </c>
      <c r="AF356" s="107">
        <f t="shared" si="273"/>
        <v>0</v>
      </c>
      <c r="AG356" s="107">
        <f t="shared" si="273"/>
        <v>0</v>
      </c>
      <c r="AH356" s="107">
        <f t="shared" si="273"/>
        <v>0</v>
      </c>
      <c r="AI356" s="107">
        <f t="shared" si="273"/>
        <v>0</v>
      </c>
    </row>
    <row r="357" spans="1:36">
      <c r="B357" s="80"/>
      <c r="C357" s="108"/>
      <c r="D357" s="58"/>
    </row>
    <row r="359" spans="1:36">
      <c r="E359" s="51" t="str">
        <f>E3</f>
        <v>Anno 1</v>
      </c>
      <c r="F359" s="51" t="str">
        <f t="shared" ref="F359:AI359" si="274">F3</f>
        <v>Anno 2</v>
      </c>
      <c r="G359" s="51" t="str">
        <f t="shared" si="274"/>
        <v>Anno 3</v>
      </c>
      <c r="H359" s="51" t="str">
        <f t="shared" si="274"/>
        <v>Anno 4</v>
      </c>
      <c r="I359" s="51" t="str">
        <f t="shared" si="274"/>
        <v>Anno 5</v>
      </c>
      <c r="J359" s="51" t="str">
        <f t="shared" si="274"/>
        <v>Anno 6</v>
      </c>
      <c r="K359" s="51" t="str">
        <f t="shared" si="274"/>
        <v>Anno 7</v>
      </c>
      <c r="L359" s="51" t="str">
        <f t="shared" si="274"/>
        <v>Anno 8</v>
      </c>
      <c r="M359" s="51" t="str">
        <f t="shared" si="274"/>
        <v>Anno 9</v>
      </c>
      <c r="N359" s="51" t="str">
        <f t="shared" si="274"/>
        <v>Anno 10</v>
      </c>
      <c r="O359" s="51" t="str">
        <f t="shared" si="274"/>
        <v>Anno 11</v>
      </c>
      <c r="P359" s="51" t="str">
        <f t="shared" si="274"/>
        <v>Anno 12</v>
      </c>
      <c r="Q359" s="51" t="str">
        <f t="shared" si="274"/>
        <v>Anno 13</v>
      </c>
      <c r="R359" s="51" t="str">
        <f t="shared" si="274"/>
        <v>Anno 14</v>
      </c>
      <c r="S359" s="51" t="str">
        <f t="shared" si="274"/>
        <v>Anno 15</v>
      </c>
      <c r="T359" s="51" t="str">
        <f t="shared" si="274"/>
        <v>Anno 16</v>
      </c>
      <c r="U359" s="51" t="str">
        <f t="shared" si="274"/>
        <v>Anno 17</v>
      </c>
      <c r="V359" s="51" t="str">
        <f t="shared" si="274"/>
        <v>Anno 18</v>
      </c>
      <c r="W359" s="51" t="str">
        <f t="shared" si="274"/>
        <v>Anno 19</v>
      </c>
      <c r="X359" s="51" t="str">
        <f t="shared" si="274"/>
        <v>Anno 20</v>
      </c>
      <c r="Y359" s="51" t="str">
        <f t="shared" si="274"/>
        <v>Anno 21</v>
      </c>
      <c r="Z359" s="51" t="str">
        <f t="shared" si="274"/>
        <v>Anno 22</v>
      </c>
      <c r="AA359" s="51" t="str">
        <f t="shared" si="274"/>
        <v>Anno 23</v>
      </c>
      <c r="AB359" s="51" t="str">
        <f t="shared" si="274"/>
        <v>Anno 24</v>
      </c>
      <c r="AC359" s="51" t="str">
        <f t="shared" si="274"/>
        <v>Anno 25</v>
      </c>
      <c r="AD359" s="51" t="str">
        <f t="shared" si="274"/>
        <v>Anno 26</v>
      </c>
      <c r="AE359" s="51" t="str">
        <f t="shared" si="274"/>
        <v>Anno 27</v>
      </c>
      <c r="AF359" s="51" t="str">
        <f t="shared" si="274"/>
        <v>Anno 28</v>
      </c>
      <c r="AG359" s="51" t="str">
        <f t="shared" si="274"/>
        <v>Anno 29</v>
      </c>
      <c r="AH359" s="51" t="str">
        <f t="shared" si="274"/>
        <v>Anno 30</v>
      </c>
      <c r="AI359" s="51" t="str">
        <f t="shared" si="274"/>
        <v>Anno 31</v>
      </c>
      <c r="AJ359" s="109" t="s">
        <v>75</v>
      </c>
    </row>
    <row r="360" spans="1:36" s="80" customFormat="1">
      <c r="A360" s="95"/>
      <c r="B360" s="96" t="s">
        <v>68</v>
      </c>
      <c r="C360" s="110"/>
      <c r="D360" s="111"/>
      <c r="E360" s="103">
        <f>E69+E140+E211+E282+E353</f>
        <v>0</v>
      </c>
      <c r="F360" s="103">
        <f t="shared" ref="F360:AJ361" si="275">F69+F140+F211+F282+F353</f>
        <v>0</v>
      </c>
      <c r="G360" s="103">
        <f t="shared" si="275"/>
        <v>0</v>
      </c>
      <c r="H360" s="103">
        <f t="shared" si="275"/>
        <v>0</v>
      </c>
      <c r="I360" s="103">
        <f t="shared" si="275"/>
        <v>0</v>
      </c>
      <c r="J360" s="103">
        <f t="shared" si="275"/>
        <v>0</v>
      </c>
      <c r="K360" s="103">
        <f t="shared" si="275"/>
        <v>0</v>
      </c>
      <c r="L360" s="103">
        <f t="shared" si="275"/>
        <v>0</v>
      </c>
      <c r="M360" s="103">
        <f t="shared" si="275"/>
        <v>0</v>
      </c>
      <c r="N360" s="103">
        <f t="shared" si="275"/>
        <v>0</v>
      </c>
      <c r="O360" s="103">
        <f t="shared" si="275"/>
        <v>0</v>
      </c>
      <c r="P360" s="103">
        <f t="shared" si="275"/>
        <v>0</v>
      </c>
      <c r="Q360" s="103">
        <f t="shared" si="275"/>
        <v>0</v>
      </c>
      <c r="R360" s="103">
        <f t="shared" si="275"/>
        <v>0</v>
      </c>
      <c r="S360" s="103">
        <f t="shared" si="275"/>
        <v>0</v>
      </c>
      <c r="T360" s="103">
        <f t="shared" si="275"/>
        <v>0</v>
      </c>
      <c r="U360" s="103">
        <f t="shared" si="275"/>
        <v>0</v>
      </c>
      <c r="V360" s="103">
        <f t="shared" si="275"/>
        <v>0</v>
      </c>
      <c r="W360" s="103">
        <f t="shared" si="275"/>
        <v>0</v>
      </c>
      <c r="X360" s="103">
        <f t="shared" si="275"/>
        <v>0</v>
      </c>
      <c r="Y360" s="103">
        <f t="shared" si="275"/>
        <v>0</v>
      </c>
      <c r="Z360" s="103">
        <f t="shared" si="275"/>
        <v>0</v>
      </c>
      <c r="AA360" s="103">
        <f t="shared" si="275"/>
        <v>0</v>
      </c>
      <c r="AB360" s="103">
        <f t="shared" si="275"/>
        <v>0</v>
      </c>
      <c r="AC360" s="103">
        <f t="shared" si="275"/>
        <v>0</v>
      </c>
      <c r="AD360" s="103">
        <f t="shared" si="275"/>
        <v>0</v>
      </c>
      <c r="AE360" s="103">
        <f t="shared" si="275"/>
        <v>0</v>
      </c>
      <c r="AF360" s="103">
        <f t="shared" si="275"/>
        <v>0</v>
      </c>
      <c r="AG360" s="103">
        <f t="shared" si="275"/>
        <v>0</v>
      </c>
      <c r="AH360" s="103">
        <f t="shared" si="275"/>
        <v>0</v>
      </c>
      <c r="AI360" s="103">
        <f t="shared" si="275"/>
        <v>0</v>
      </c>
      <c r="AJ360" s="103">
        <f t="shared" si="275"/>
        <v>0</v>
      </c>
    </row>
    <row r="361" spans="1:36">
      <c r="B361" s="100" t="s">
        <v>69</v>
      </c>
      <c r="C361" s="112"/>
      <c r="D361" s="113"/>
      <c r="E361" s="107">
        <f>E70+E141+E212+E283+E354</f>
        <v>0</v>
      </c>
      <c r="F361" s="107">
        <f t="shared" si="275"/>
        <v>0</v>
      </c>
      <c r="G361" s="107">
        <f t="shared" si="275"/>
        <v>0</v>
      </c>
      <c r="H361" s="107">
        <f t="shared" si="275"/>
        <v>0</v>
      </c>
      <c r="I361" s="107">
        <f t="shared" si="275"/>
        <v>0</v>
      </c>
      <c r="J361" s="107">
        <f t="shared" si="275"/>
        <v>0</v>
      </c>
      <c r="K361" s="107">
        <f t="shared" si="275"/>
        <v>0</v>
      </c>
      <c r="L361" s="107">
        <f t="shared" si="275"/>
        <v>0</v>
      </c>
      <c r="M361" s="107">
        <f t="shared" si="275"/>
        <v>0</v>
      </c>
      <c r="N361" s="107">
        <f t="shared" si="275"/>
        <v>0</v>
      </c>
      <c r="O361" s="107">
        <f t="shared" si="275"/>
        <v>0</v>
      </c>
      <c r="P361" s="107">
        <f t="shared" si="275"/>
        <v>0</v>
      </c>
      <c r="Q361" s="107">
        <f t="shared" si="275"/>
        <v>0</v>
      </c>
      <c r="R361" s="107">
        <f t="shared" si="275"/>
        <v>0</v>
      </c>
      <c r="S361" s="107">
        <f t="shared" si="275"/>
        <v>0</v>
      </c>
      <c r="T361" s="107">
        <f t="shared" si="275"/>
        <v>0</v>
      </c>
      <c r="U361" s="107">
        <f t="shared" si="275"/>
        <v>0</v>
      </c>
      <c r="V361" s="107">
        <f t="shared" si="275"/>
        <v>0</v>
      </c>
      <c r="W361" s="107">
        <f t="shared" si="275"/>
        <v>0</v>
      </c>
      <c r="X361" s="107">
        <f t="shared" si="275"/>
        <v>0</v>
      </c>
      <c r="Y361" s="107">
        <f t="shared" si="275"/>
        <v>0</v>
      </c>
      <c r="Z361" s="107">
        <f t="shared" si="275"/>
        <v>0</v>
      </c>
      <c r="AA361" s="107">
        <f t="shared" si="275"/>
        <v>0</v>
      </c>
      <c r="AB361" s="107">
        <f t="shared" si="275"/>
        <v>0</v>
      </c>
      <c r="AC361" s="107">
        <f t="shared" si="275"/>
        <v>0</v>
      </c>
      <c r="AD361" s="107">
        <f t="shared" si="275"/>
        <v>0</v>
      </c>
      <c r="AE361" s="107">
        <f t="shared" si="275"/>
        <v>0</v>
      </c>
      <c r="AF361" s="107">
        <f t="shared" si="275"/>
        <v>0</v>
      </c>
      <c r="AG361" s="107">
        <f t="shared" si="275"/>
        <v>0</v>
      </c>
      <c r="AH361" s="107">
        <f t="shared" si="275"/>
        <v>0</v>
      </c>
      <c r="AI361" s="107">
        <f t="shared" si="275"/>
        <v>0</v>
      </c>
    </row>
    <row r="362" spans="1:36" s="80" customFormat="1">
      <c r="A362" s="95"/>
      <c r="B362" s="96" t="s">
        <v>70</v>
      </c>
      <c r="C362" s="110"/>
      <c r="D362" s="114"/>
      <c r="E362" s="103">
        <f t="shared" ref="E362:T362" si="276">E71+E142+E213+E284+E355</f>
        <v>0</v>
      </c>
      <c r="F362" s="103">
        <f t="shared" si="276"/>
        <v>0</v>
      </c>
      <c r="G362" s="103">
        <f t="shared" si="276"/>
        <v>0</v>
      </c>
      <c r="H362" s="103">
        <f t="shared" si="276"/>
        <v>0</v>
      </c>
      <c r="I362" s="103">
        <f t="shared" si="276"/>
        <v>0</v>
      </c>
      <c r="J362" s="103">
        <f t="shared" si="276"/>
        <v>0</v>
      </c>
      <c r="K362" s="103">
        <f t="shared" si="276"/>
        <v>0</v>
      </c>
      <c r="L362" s="103">
        <f t="shared" si="276"/>
        <v>0</v>
      </c>
      <c r="M362" s="103">
        <f t="shared" si="276"/>
        <v>0</v>
      </c>
      <c r="N362" s="103">
        <f t="shared" si="276"/>
        <v>0</v>
      </c>
      <c r="O362" s="103">
        <f t="shared" si="276"/>
        <v>0</v>
      </c>
      <c r="P362" s="103">
        <f t="shared" si="276"/>
        <v>0</v>
      </c>
      <c r="Q362" s="103">
        <f t="shared" si="276"/>
        <v>0</v>
      </c>
      <c r="R362" s="103">
        <f t="shared" si="276"/>
        <v>0</v>
      </c>
      <c r="S362" s="103">
        <f t="shared" si="276"/>
        <v>0</v>
      </c>
      <c r="T362" s="103">
        <f t="shared" si="276"/>
        <v>0</v>
      </c>
      <c r="U362" s="103">
        <f t="shared" ref="U362:AJ362" si="277">U71+U142+U213+U284+U355</f>
        <v>0</v>
      </c>
      <c r="V362" s="103">
        <f t="shared" si="277"/>
        <v>0</v>
      </c>
      <c r="W362" s="103">
        <f t="shared" si="277"/>
        <v>0</v>
      </c>
      <c r="X362" s="103">
        <f t="shared" si="277"/>
        <v>0</v>
      </c>
      <c r="Y362" s="103">
        <f t="shared" si="277"/>
        <v>0</v>
      </c>
      <c r="Z362" s="103">
        <f t="shared" si="277"/>
        <v>0</v>
      </c>
      <c r="AA362" s="103">
        <f t="shared" si="277"/>
        <v>0</v>
      </c>
      <c r="AB362" s="103">
        <f t="shared" si="277"/>
        <v>0</v>
      </c>
      <c r="AC362" s="103">
        <f t="shared" si="277"/>
        <v>0</v>
      </c>
      <c r="AD362" s="103">
        <f t="shared" si="277"/>
        <v>0</v>
      </c>
      <c r="AE362" s="103">
        <f t="shared" si="277"/>
        <v>0</v>
      </c>
      <c r="AF362" s="103">
        <f t="shared" si="277"/>
        <v>0</v>
      </c>
      <c r="AG362" s="103">
        <f t="shared" si="277"/>
        <v>0</v>
      </c>
      <c r="AH362" s="103">
        <f t="shared" si="277"/>
        <v>0</v>
      </c>
      <c r="AI362" s="103">
        <f t="shared" si="277"/>
        <v>0</v>
      </c>
      <c r="AJ362" s="103">
        <f t="shared" si="277"/>
        <v>0</v>
      </c>
    </row>
    <row r="363" spans="1:36">
      <c r="B363" s="105" t="s">
        <v>71</v>
      </c>
      <c r="C363" s="115"/>
      <c r="D363" s="116"/>
      <c r="E363" s="107">
        <f t="shared" ref="E363:AI363" si="278">E72+E143+E214+E285+E356</f>
        <v>0</v>
      </c>
      <c r="F363" s="107">
        <f t="shared" si="278"/>
        <v>0</v>
      </c>
      <c r="G363" s="107">
        <f t="shared" si="278"/>
        <v>0</v>
      </c>
      <c r="H363" s="107">
        <f t="shared" si="278"/>
        <v>0</v>
      </c>
      <c r="I363" s="107">
        <f t="shared" si="278"/>
        <v>0</v>
      </c>
      <c r="J363" s="107">
        <f t="shared" si="278"/>
        <v>0</v>
      </c>
      <c r="K363" s="107">
        <f t="shared" si="278"/>
        <v>0</v>
      </c>
      <c r="L363" s="107">
        <f t="shared" si="278"/>
        <v>0</v>
      </c>
      <c r="M363" s="107">
        <f t="shared" si="278"/>
        <v>0</v>
      </c>
      <c r="N363" s="107">
        <f t="shared" si="278"/>
        <v>0</v>
      </c>
      <c r="O363" s="107">
        <f t="shared" si="278"/>
        <v>0</v>
      </c>
      <c r="P363" s="107">
        <f t="shared" si="278"/>
        <v>0</v>
      </c>
      <c r="Q363" s="107">
        <f t="shared" si="278"/>
        <v>0</v>
      </c>
      <c r="R363" s="107">
        <f t="shared" si="278"/>
        <v>0</v>
      </c>
      <c r="S363" s="107">
        <f t="shared" si="278"/>
        <v>0</v>
      </c>
      <c r="T363" s="107">
        <f t="shared" si="278"/>
        <v>0</v>
      </c>
      <c r="U363" s="107">
        <f t="shared" si="278"/>
        <v>0</v>
      </c>
      <c r="V363" s="107">
        <f t="shared" si="278"/>
        <v>0</v>
      </c>
      <c r="W363" s="107">
        <f t="shared" si="278"/>
        <v>0</v>
      </c>
      <c r="X363" s="107">
        <f t="shared" si="278"/>
        <v>0</v>
      </c>
      <c r="Y363" s="107">
        <f t="shared" si="278"/>
        <v>0</v>
      </c>
      <c r="Z363" s="107">
        <f t="shared" si="278"/>
        <v>0</v>
      </c>
      <c r="AA363" s="107">
        <f t="shared" si="278"/>
        <v>0</v>
      </c>
      <c r="AB363" s="107">
        <f t="shared" si="278"/>
        <v>0</v>
      </c>
      <c r="AC363" s="107">
        <f t="shared" si="278"/>
        <v>0</v>
      </c>
      <c r="AD363" s="107">
        <f t="shared" si="278"/>
        <v>0</v>
      </c>
      <c r="AE363" s="107">
        <f t="shared" si="278"/>
        <v>0</v>
      </c>
      <c r="AF363" s="107">
        <f t="shared" si="278"/>
        <v>0</v>
      </c>
      <c r="AG363" s="107">
        <f t="shared" si="278"/>
        <v>0</v>
      </c>
      <c r="AH363" s="107">
        <f t="shared" si="278"/>
        <v>0</v>
      </c>
      <c r="AI363" s="107">
        <f t="shared" si="278"/>
        <v>0</v>
      </c>
    </row>
    <row r="364" spans="1:36"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  <c r="AF364" s="63"/>
      <c r="AG364" s="63"/>
      <c r="AH364" s="63"/>
      <c r="AI364" s="63"/>
    </row>
    <row r="365" spans="1:36">
      <c r="B365" s="105" t="s">
        <v>76</v>
      </c>
      <c r="C365" s="115"/>
      <c r="D365" s="117">
        <f>D6+D77+D148+D219+D290</f>
        <v>0</v>
      </c>
      <c r="E365" s="118"/>
      <c r="F365" s="118"/>
      <c r="G365" s="118"/>
      <c r="H365" s="118"/>
      <c r="I365" s="118"/>
      <c r="J365" s="119"/>
      <c r="K365" s="119"/>
      <c r="L365" s="119"/>
      <c r="M365" s="119"/>
      <c r="N365" s="119"/>
      <c r="O365" s="119"/>
      <c r="P365" s="119"/>
      <c r="Q365" s="120"/>
      <c r="R365" s="121"/>
      <c r="S365" s="121"/>
      <c r="T365" s="121"/>
      <c r="U365" s="121"/>
      <c r="V365" s="121"/>
      <c r="W365" s="121"/>
      <c r="X365" s="121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07">
        <f>D365</f>
        <v>0</v>
      </c>
    </row>
  </sheetData>
  <phoneticPr fontId="0" type="noConversion"/>
  <printOptions horizontalCentered="1"/>
  <pageMargins left="0" right="0" top="0" bottom="0" header="0" footer="0"/>
  <pageSetup paperSize="9" scale="48" fitToHeight="0" orientation="landscape"/>
  <headerFooter alignWithMargins="0"/>
  <rowBreaks count="4" manualBreakCount="4">
    <brk id="72" max="35" man="1"/>
    <brk id="143" max="35" man="1"/>
    <brk id="214" max="35" man="1"/>
    <brk id="285" max="35" man="1"/>
  </rowBreaks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A5F68-287A-8D46-9AF9-6707D0DC5616}">
  <sheetPr codeName="Foglio8">
    <pageSetUpPr fitToPage="1"/>
  </sheetPr>
  <dimension ref="A1:FD154"/>
  <sheetViews>
    <sheetView topLeftCell="A121" zoomScale="75" zoomScaleNormal="75" workbookViewId="0">
      <selection activeCell="D86" sqref="D86"/>
    </sheetView>
  </sheetViews>
  <sheetFormatPr defaultColWidth="9.140625" defaultRowHeight="15"/>
  <cols>
    <col min="1" max="1" width="8.42578125" style="60" bestFit="1" customWidth="1"/>
    <col min="2" max="2" width="56.140625" style="59" bestFit="1" customWidth="1"/>
    <col min="3" max="3" width="8.85546875" style="61" bestFit="1" customWidth="1"/>
    <col min="4" max="4" width="10.28515625" style="62" bestFit="1" customWidth="1"/>
    <col min="5" max="9" width="10.28515625" style="63" bestFit="1" customWidth="1"/>
    <col min="10" max="10" width="10.28515625" style="66" bestFit="1" customWidth="1"/>
    <col min="11" max="11" width="8.140625" style="66" bestFit="1" customWidth="1"/>
    <col min="12" max="12" width="7.7109375" style="66" bestFit="1" customWidth="1"/>
    <col min="13" max="16" width="7.42578125" style="66" bestFit="1" customWidth="1"/>
    <col min="17" max="17" width="7.42578125" style="67" bestFit="1" customWidth="1"/>
    <col min="18" max="21" width="7.42578125" style="59" bestFit="1" customWidth="1"/>
    <col min="22" max="24" width="7.7109375" style="59" bestFit="1" customWidth="1"/>
    <col min="25" max="32" width="8.140625" style="59" bestFit="1" customWidth="1"/>
    <col min="33" max="34" width="7.7109375" style="59" bestFit="1" customWidth="1"/>
    <col min="35" max="35" width="8.140625" style="59" bestFit="1" customWidth="1"/>
    <col min="36" max="36" width="5" style="59" bestFit="1" customWidth="1"/>
    <col min="37" max="37" width="4.140625" style="59" bestFit="1" customWidth="1"/>
    <col min="38" max="16384" width="9.140625" style="59"/>
  </cols>
  <sheetData>
    <row r="1" spans="1:160">
      <c r="B1" s="59" t="s">
        <v>62</v>
      </c>
      <c r="G1" s="64"/>
      <c r="H1" s="64"/>
      <c r="I1" s="65"/>
    </row>
    <row r="2" spans="1:160" ht="10.5" customHeight="1"/>
    <row r="3" spans="1:160" ht="30">
      <c r="A3" s="68"/>
      <c r="B3" s="69" t="s">
        <v>63</v>
      </c>
      <c r="C3" s="49" t="s">
        <v>64</v>
      </c>
      <c r="D3" s="50" t="s">
        <v>65</v>
      </c>
      <c r="E3" s="275" t="s">
        <v>144</v>
      </c>
      <c r="F3" s="275" t="s">
        <v>145</v>
      </c>
      <c r="G3" s="275" t="s">
        <v>146</v>
      </c>
      <c r="H3" s="275" t="s">
        <v>147</v>
      </c>
      <c r="I3" s="275" t="s">
        <v>148</v>
      </c>
      <c r="J3" s="275" t="s">
        <v>149</v>
      </c>
      <c r="K3" s="275" t="s">
        <v>150</v>
      </c>
      <c r="L3" s="275" t="s">
        <v>151</v>
      </c>
      <c r="M3" s="275" t="s">
        <v>152</v>
      </c>
      <c r="N3" s="275" t="s">
        <v>153</v>
      </c>
      <c r="O3" s="275" t="s">
        <v>154</v>
      </c>
      <c r="P3" s="275" t="s">
        <v>155</v>
      </c>
      <c r="Q3" s="275" t="s">
        <v>156</v>
      </c>
      <c r="R3" s="275" t="s">
        <v>157</v>
      </c>
      <c r="S3" s="275" t="s">
        <v>158</v>
      </c>
      <c r="T3" s="275" t="s">
        <v>159</v>
      </c>
      <c r="U3" s="275" t="s">
        <v>160</v>
      </c>
      <c r="V3" s="275" t="s">
        <v>161</v>
      </c>
      <c r="W3" s="275" t="s">
        <v>162</v>
      </c>
      <c r="X3" s="275" t="s">
        <v>163</v>
      </c>
      <c r="Y3" s="275" t="s">
        <v>164</v>
      </c>
      <c r="Z3" s="275" t="s">
        <v>165</v>
      </c>
      <c r="AA3" s="275" t="s">
        <v>166</v>
      </c>
      <c r="AB3" s="275" t="s">
        <v>167</v>
      </c>
      <c r="AC3" s="275" t="s">
        <v>168</v>
      </c>
      <c r="AD3" s="275" t="s">
        <v>169</v>
      </c>
      <c r="AE3" s="275" t="s">
        <v>170</v>
      </c>
      <c r="AF3" s="275" t="s">
        <v>171</v>
      </c>
      <c r="AG3" s="275" t="s">
        <v>172</v>
      </c>
      <c r="AH3" s="275" t="s">
        <v>173</v>
      </c>
      <c r="AI3" s="275" t="s">
        <v>174</v>
      </c>
    </row>
    <row r="4" spans="1:160" ht="4.5" customHeight="1">
      <c r="AI4" s="70"/>
    </row>
    <row r="5" spans="1:160">
      <c r="B5" s="71" t="str">
        <f>+Ipotesi!$A$36</f>
        <v>IT (software, hardware)</v>
      </c>
      <c r="C5" s="72">
        <f>+Ipotesi!$C$47</f>
        <v>0.2</v>
      </c>
      <c r="D5" s="73">
        <f>D6/2*5</f>
        <v>0</v>
      </c>
      <c r="E5" s="74">
        <f t="shared" ref="E5:AI5" si="0">IF($D5*$C5&gt;=D6,D6,$D5*$C5)</f>
        <v>0</v>
      </c>
      <c r="F5" s="75">
        <f t="shared" si="0"/>
        <v>0</v>
      </c>
      <c r="G5" s="75">
        <f t="shared" si="0"/>
        <v>0</v>
      </c>
      <c r="H5" s="75">
        <f t="shared" si="0"/>
        <v>0</v>
      </c>
      <c r="I5" s="75">
        <f t="shared" si="0"/>
        <v>0</v>
      </c>
      <c r="J5" s="75">
        <f t="shared" si="0"/>
        <v>0</v>
      </c>
      <c r="K5" s="75">
        <f t="shared" si="0"/>
        <v>0</v>
      </c>
      <c r="L5" s="75">
        <f t="shared" si="0"/>
        <v>0</v>
      </c>
      <c r="M5" s="75">
        <f t="shared" si="0"/>
        <v>0</v>
      </c>
      <c r="N5" s="75">
        <f t="shared" si="0"/>
        <v>0</v>
      </c>
      <c r="O5" s="75">
        <f t="shared" si="0"/>
        <v>0</v>
      </c>
      <c r="P5" s="75">
        <f t="shared" si="0"/>
        <v>0</v>
      </c>
      <c r="Q5" s="75">
        <f t="shared" si="0"/>
        <v>0</v>
      </c>
      <c r="R5" s="75">
        <f t="shared" si="0"/>
        <v>0</v>
      </c>
      <c r="S5" s="75">
        <f t="shared" si="0"/>
        <v>0</v>
      </c>
      <c r="T5" s="75">
        <f t="shared" si="0"/>
        <v>0</v>
      </c>
      <c r="U5" s="75">
        <f t="shared" si="0"/>
        <v>0</v>
      </c>
      <c r="V5" s="75">
        <f t="shared" si="0"/>
        <v>0</v>
      </c>
      <c r="W5" s="75">
        <f t="shared" si="0"/>
        <v>0</v>
      </c>
      <c r="X5" s="75">
        <f t="shared" si="0"/>
        <v>0</v>
      </c>
      <c r="Y5" s="75">
        <f t="shared" si="0"/>
        <v>0</v>
      </c>
      <c r="Z5" s="75">
        <f t="shared" si="0"/>
        <v>0</v>
      </c>
      <c r="AA5" s="75">
        <f t="shared" si="0"/>
        <v>0</v>
      </c>
      <c r="AB5" s="75">
        <f t="shared" si="0"/>
        <v>0</v>
      </c>
      <c r="AC5" s="75">
        <f t="shared" si="0"/>
        <v>0</v>
      </c>
      <c r="AD5" s="75">
        <f t="shared" si="0"/>
        <v>0</v>
      </c>
      <c r="AE5" s="75">
        <f t="shared" si="0"/>
        <v>0</v>
      </c>
      <c r="AF5" s="75">
        <f t="shared" si="0"/>
        <v>0</v>
      </c>
      <c r="AG5" s="75">
        <f t="shared" si="0"/>
        <v>0</v>
      </c>
      <c r="AH5" s="75">
        <f t="shared" si="0"/>
        <v>0</v>
      </c>
      <c r="AI5" s="76">
        <f t="shared" si="0"/>
        <v>0</v>
      </c>
    </row>
    <row r="6" spans="1:160">
      <c r="B6" s="71" t="s">
        <v>61</v>
      </c>
      <c r="C6" s="72"/>
      <c r="D6" s="77"/>
      <c r="E6" s="78">
        <f>D6-E5</f>
        <v>0</v>
      </c>
      <c r="F6" s="63">
        <f t="shared" ref="F6:AI6" si="1">IF(E6-F5&gt;0,E6-F5,0)</f>
        <v>0</v>
      </c>
      <c r="G6" s="63">
        <f t="shared" si="1"/>
        <v>0</v>
      </c>
      <c r="H6" s="63">
        <f t="shared" si="1"/>
        <v>0</v>
      </c>
      <c r="I6" s="63">
        <f t="shared" si="1"/>
        <v>0</v>
      </c>
      <c r="J6" s="63">
        <f t="shared" si="1"/>
        <v>0</v>
      </c>
      <c r="K6" s="63">
        <f t="shared" si="1"/>
        <v>0</v>
      </c>
      <c r="L6" s="63">
        <f t="shared" si="1"/>
        <v>0</v>
      </c>
      <c r="M6" s="63">
        <f t="shared" si="1"/>
        <v>0</v>
      </c>
      <c r="N6" s="63">
        <f t="shared" si="1"/>
        <v>0</v>
      </c>
      <c r="O6" s="63">
        <f t="shared" si="1"/>
        <v>0</v>
      </c>
      <c r="P6" s="63">
        <f t="shared" si="1"/>
        <v>0</v>
      </c>
      <c r="Q6" s="63">
        <f t="shared" si="1"/>
        <v>0</v>
      </c>
      <c r="R6" s="63">
        <f t="shared" si="1"/>
        <v>0</v>
      </c>
      <c r="S6" s="63">
        <f t="shared" si="1"/>
        <v>0</v>
      </c>
      <c r="T6" s="63">
        <f t="shared" si="1"/>
        <v>0</v>
      </c>
      <c r="U6" s="63">
        <f t="shared" si="1"/>
        <v>0</v>
      </c>
      <c r="V6" s="63">
        <f t="shared" si="1"/>
        <v>0</v>
      </c>
      <c r="W6" s="63">
        <f t="shared" si="1"/>
        <v>0</v>
      </c>
      <c r="X6" s="63">
        <f t="shared" si="1"/>
        <v>0</v>
      </c>
      <c r="Y6" s="63">
        <f t="shared" si="1"/>
        <v>0</v>
      </c>
      <c r="Z6" s="63">
        <f t="shared" si="1"/>
        <v>0</v>
      </c>
      <c r="AA6" s="63">
        <f t="shared" si="1"/>
        <v>0</v>
      </c>
      <c r="AB6" s="63">
        <f t="shared" si="1"/>
        <v>0</v>
      </c>
      <c r="AC6" s="63">
        <f t="shared" si="1"/>
        <v>0</v>
      </c>
      <c r="AD6" s="63">
        <f t="shared" si="1"/>
        <v>0</v>
      </c>
      <c r="AE6" s="63">
        <f t="shared" si="1"/>
        <v>0</v>
      </c>
      <c r="AF6" s="63">
        <f t="shared" si="1"/>
        <v>0</v>
      </c>
      <c r="AG6" s="63">
        <f t="shared" si="1"/>
        <v>0</v>
      </c>
      <c r="AH6" s="63">
        <f t="shared" si="1"/>
        <v>0</v>
      </c>
      <c r="AI6" s="79">
        <f t="shared" si="1"/>
        <v>0</v>
      </c>
    </row>
    <row r="7" spans="1:160" s="80" customFormat="1">
      <c r="A7" s="95" t="str">
        <f>E3</f>
        <v>Anno 1</v>
      </c>
      <c r="B7" s="80" t="str">
        <f>$B5</f>
        <v>IT (software, hardware)</v>
      </c>
      <c r="C7" s="81">
        <f>$C$5</f>
        <v>0.2</v>
      </c>
      <c r="D7" s="52">
        <f>+Ipotesi!C36</f>
        <v>50000</v>
      </c>
      <c r="E7" s="82">
        <f t="shared" ref="E7:AI7" si="2">IF($D7*$C7&gt;=D8,D8,$D7*$C7)</f>
        <v>10000</v>
      </c>
      <c r="F7" s="83">
        <f t="shared" si="2"/>
        <v>10000</v>
      </c>
      <c r="G7" s="83">
        <f t="shared" si="2"/>
        <v>10000</v>
      </c>
      <c r="H7" s="83">
        <f t="shared" si="2"/>
        <v>10000</v>
      </c>
      <c r="I7" s="83">
        <f t="shared" si="2"/>
        <v>10000</v>
      </c>
      <c r="J7" s="83">
        <f t="shared" si="2"/>
        <v>0</v>
      </c>
      <c r="K7" s="83">
        <f t="shared" si="2"/>
        <v>0</v>
      </c>
      <c r="L7" s="83">
        <f t="shared" si="2"/>
        <v>0</v>
      </c>
      <c r="M7" s="83">
        <f t="shared" si="2"/>
        <v>0</v>
      </c>
      <c r="N7" s="83">
        <f t="shared" si="2"/>
        <v>0</v>
      </c>
      <c r="O7" s="83">
        <f t="shared" si="2"/>
        <v>0</v>
      </c>
      <c r="P7" s="83">
        <f t="shared" si="2"/>
        <v>0</v>
      </c>
      <c r="Q7" s="83">
        <f t="shared" si="2"/>
        <v>0</v>
      </c>
      <c r="R7" s="83">
        <f t="shared" si="2"/>
        <v>0</v>
      </c>
      <c r="S7" s="83">
        <f t="shared" si="2"/>
        <v>0</v>
      </c>
      <c r="T7" s="83">
        <f t="shared" si="2"/>
        <v>0</v>
      </c>
      <c r="U7" s="83">
        <f t="shared" si="2"/>
        <v>0</v>
      </c>
      <c r="V7" s="83">
        <f t="shared" si="2"/>
        <v>0</v>
      </c>
      <c r="W7" s="83">
        <f t="shared" si="2"/>
        <v>0</v>
      </c>
      <c r="X7" s="83">
        <f t="shared" si="2"/>
        <v>0</v>
      </c>
      <c r="Y7" s="83">
        <f t="shared" si="2"/>
        <v>0</v>
      </c>
      <c r="Z7" s="83">
        <f t="shared" si="2"/>
        <v>0</v>
      </c>
      <c r="AA7" s="83">
        <f t="shared" si="2"/>
        <v>0</v>
      </c>
      <c r="AB7" s="83">
        <f t="shared" si="2"/>
        <v>0</v>
      </c>
      <c r="AC7" s="83">
        <f t="shared" si="2"/>
        <v>0</v>
      </c>
      <c r="AD7" s="83">
        <f t="shared" si="2"/>
        <v>0</v>
      </c>
      <c r="AE7" s="83">
        <f t="shared" si="2"/>
        <v>0</v>
      </c>
      <c r="AF7" s="83">
        <f t="shared" si="2"/>
        <v>0</v>
      </c>
      <c r="AG7" s="83">
        <f t="shared" si="2"/>
        <v>0</v>
      </c>
      <c r="AH7" s="83">
        <f t="shared" si="2"/>
        <v>0</v>
      </c>
      <c r="AI7" s="84">
        <f t="shared" si="2"/>
        <v>0</v>
      </c>
      <c r="FD7" s="59"/>
    </row>
    <row r="8" spans="1:160">
      <c r="A8" s="60" t="str">
        <f>E3</f>
        <v>Anno 1</v>
      </c>
      <c r="B8" s="59" t="s">
        <v>61</v>
      </c>
      <c r="C8" s="81"/>
      <c r="D8" s="52">
        <f>D7</f>
        <v>50000</v>
      </c>
      <c r="E8" s="78">
        <f>$D8-E7</f>
        <v>40000</v>
      </c>
      <c r="F8" s="63">
        <f t="shared" ref="F8:AI8" si="3">IF(E8-F7&gt;0,E8-F7,0)</f>
        <v>30000</v>
      </c>
      <c r="G8" s="63">
        <f t="shared" si="3"/>
        <v>20000</v>
      </c>
      <c r="H8" s="63">
        <f t="shared" si="3"/>
        <v>10000</v>
      </c>
      <c r="I8" s="63">
        <f t="shared" si="3"/>
        <v>0</v>
      </c>
      <c r="J8" s="63">
        <f t="shared" si="3"/>
        <v>0</v>
      </c>
      <c r="K8" s="63">
        <f t="shared" si="3"/>
        <v>0</v>
      </c>
      <c r="L8" s="63">
        <f t="shared" si="3"/>
        <v>0</v>
      </c>
      <c r="M8" s="63">
        <f t="shared" si="3"/>
        <v>0</v>
      </c>
      <c r="N8" s="63">
        <f t="shared" si="3"/>
        <v>0</v>
      </c>
      <c r="O8" s="63">
        <f t="shared" si="3"/>
        <v>0</v>
      </c>
      <c r="P8" s="63">
        <f t="shared" si="3"/>
        <v>0</v>
      </c>
      <c r="Q8" s="63">
        <f t="shared" si="3"/>
        <v>0</v>
      </c>
      <c r="R8" s="63">
        <f t="shared" si="3"/>
        <v>0</v>
      </c>
      <c r="S8" s="63">
        <f t="shared" si="3"/>
        <v>0</v>
      </c>
      <c r="T8" s="63">
        <f t="shared" si="3"/>
        <v>0</v>
      </c>
      <c r="U8" s="63">
        <f t="shared" si="3"/>
        <v>0</v>
      </c>
      <c r="V8" s="63">
        <f t="shared" si="3"/>
        <v>0</v>
      </c>
      <c r="W8" s="63">
        <f t="shared" si="3"/>
        <v>0</v>
      </c>
      <c r="X8" s="63">
        <f t="shared" si="3"/>
        <v>0</v>
      </c>
      <c r="Y8" s="63">
        <f t="shared" si="3"/>
        <v>0</v>
      </c>
      <c r="Z8" s="63">
        <f t="shared" si="3"/>
        <v>0</v>
      </c>
      <c r="AA8" s="63">
        <f t="shared" si="3"/>
        <v>0</v>
      </c>
      <c r="AB8" s="63">
        <f t="shared" si="3"/>
        <v>0</v>
      </c>
      <c r="AC8" s="63">
        <f t="shared" si="3"/>
        <v>0</v>
      </c>
      <c r="AD8" s="63">
        <f t="shared" si="3"/>
        <v>0</v>
      </c>
      <c r="AE8" s="63">
        <f t="shared" si="3"/>
        <v>0</v>
      </c>
      <c r="AF8" s="63">
        <f t="shared" si="3"/>
        <v>0</v>
      </c>
      <c r="AG8" s="63">
        <f t="shared" si="3"/>
        <v>0</v>
      </c>
      <c r="AH8" s="63">
        <f t="shared" si="3"/>
        <v>0</v>
      </c>
      <c r="AI8" s="79">
        <f t="shared" si="3"/>
        <v>0</v>
      </c>
    </row>
    <row r="9" spans="1:160" s="80" customFormat="1">
      <c r="A9" s="95" t="str">
        <f>F3</f>
        <v>Anno 2</v>
      </c>
      <c r="B9" s="80" t="str">
        <f>$B5</f>
        <v>IT (software, hardware)</v>
      </c>
      <c r="C9" s="81">
        <f>$C$5</f>
        <v>0.2</v>
      </c>
      <c r="D9" s="52"/>
      <c r="E9" s="85"/>
      <c r="F9" s="64">
        <f>IF($D9*$C9&gt;=$D10,$D10,$D9*$C9)</f>
        <v>0</v>
      </c>
      <c r="G9" s="64">
        <f t="shared" ref="G9:AI9" si="4">IF($D9*$C9&gt;=F10,F10,$D9*$C9)</f>
        <v>0</v>
      </c>
      <c r="H9" s="64">
        <f t="shared" si="4"/>
        <v>0</v>
      </c>
      <c r="I9" s="64">
        <f t="shared" si="4"/>
        <v>0</v>
      </c>
      <c r="J9" s="64">
        <f t="shared" si="4"/>
        <v>0</v>
      </c>
      <c r="K9" s="64">
        <f t="shared" si="4"/>
        <v>0</v>
      </c>
      <c r="L9" s="64">
        <f t="shared" si="4"/>
        <v>0</v>
      </c>
      <c r="M9" s="64">
        <f t="shared" si="4"/>
        <v>0</v>
      </c>
      <c r="N9" s="64">
        <f t="shared" si="4"/>
        <v>0</v>
      </c>
      <c r="O9" s="64">
        <f t="shared" si="4"/>
        <v>0</v>
      </c>
      <c r="P9" s="64">
        <f t="shared" si="4"/>
        <v>0</v>
      </c>
      <c r="Q9" s="64">
        <f t="shared" si="4"/>
        <v>0</v>
      </c>
      <c r="R9" s="64">
        <f t="shared" si="4"/>
        <v>0</v>
      </c>
      <c r="S9" s="64">
        <f t="shared" si="4"/>
        <v>0</v>
      </c>
      <c r="T9" s="64">
        <f t="shared" si="4"/>
        <v>0</v>
      </c>
      <c r="U9" s="64">
        <f t="shared" si="4"/>
        <v>0</v>
      </c>
      <c r="V9" s="64">
        <f t="shared" si="4"/>
        <v>0</v>
      </c>
      <c r="W9" s="64">
        <f t="shared" si="4"/>
        <v>0</v>
      </c>
      <c r="X9" s="64">
        <f t="shared" si="4"/>
        <v>0</v>
      </c>
      <c r="Y9" s="64">
        <f t="shared" si="4"/>
        <v>0</v>
      </c>
      <c r="Z9" s="64">
        <f t="shared" si="4"/>
        <v>0</v>
      </c>
      <c r="AA9" s="64">
        <f t="shared" si="4"/>
        <v>0</v>
      </c>
      <c r="AB9" s="64">
        <f t="shared" si="4"/>
        <v>0</v>
      </c>
      <c r="AC9" s="64">
        <f t="shared" si="4"/>
        <v>0</v>
      </c>
      <c r="AD9" s="64">
        <f t="shared" si="4"/>
        <v>0</v>
      </c>
      <c r="AE9" s="64">
        <f t="shared" si="4"/>
        <v>0</v>
      </c>
      <c r="AF9" s="64">
        <f t="shared" si="4"/>
        <v>0</v>
      </c>
      <c r="AG9" s="64">
        <f t="shared" si="4"/>
        <v>0</v>
      </c>
      <c r="AH9" s="64">
        <f t="shared" si="4"/>
        <v>0</v>
      </c>
      <c r="AI9" s="86">
        <f t="shared" si="4"/>
        <v>0</v>
      </c>
      <c r="FD9" s="59"/>
    </row>
    <row r="10" spans="1:160">
      <c r="A10" s="60" t="str">
        <f>F3</f>
        <v>Anno 2</v>
      </c>
      <c r="B10" s="59" t="s">
        <v>61</v>
      </c>
      <c r="C10" s="81"/>
      <c r="D10" s="52">
        <f>D9</f>
        <v>0</v>
      </c>
      <c r="E10" s="78"/>
      <c r="F10" s="63">
        <f>$D10-F9</f>
        <v>0</v>
      </c>
      <c r="G10" s="63">
        <f t="shared" ref="G10:AI10" si="5">IF(F10-G9&gt;0,F10-G9,0)</f>
        <v>0</v>
      </c>
      <c r="H10" s="63">
        <f t="shared" si="5"/>
        <v>0</v>
      </c>
      <c r="I10" s="63">
        <f t="shared" si="5"/>
        <v>0</v>
      </c>
      <c r="J10" s="63">
        <f t="shared" si="5"/>
        <v>0</v>
      </c>
      <c r="K10" s="63">
        <f t="shared" si="5"/>
        <v>0</v>
      </c>
      <c r="L10" s="63">
        <f t="shared" si="5"/>
        <v>0</v>
      </c>
      <c r="M10" s="63">
        <f t="shared" si="5"/>
        <v>0</v>
      </c>
      <c r="N10" s="63">
        <f t="shared" si="5"/>
        <v>0</v>
      </c>
      <c r="O10" s="63">
        <f t="shared" si="5"/>
        <v>0</v>
      </c>
      <c r="P10" s="63">
        <f t="shared" si="5"/>
        <v>0</v>
      </c>
      <c r="Q10" s="63">
        <f t="shared" si="5"/>
        <v>0</v>
      </c>
      <c r="R10" s="63">
        <f t="shared" si="5"/>
        <v>0</v>
      </c>
      <c r="S10" s="63">
        <f t="shared" si="5"/>
        <v>0</v>
      </c>
      <c r="T10" s="63">
        <f t="shared" si="5"/>
        <v>0</v>
      </c>
      <c r="U10" s="63">
        <f t="shared" si="5"/>
        <v>0</v>
      </c>
      <c r="V10" s="63">
        <f t="shared" si="5"/>
        <v>0</v>
      </c>
      <c r="W10" s="63">
        <f t="shared" si="5"/>
        <v>0</v>
      </c>
      <c r="X10" s="63">
        <f t="shared" si="5"/>
        <v>0</v>
      </c>
      <c r="Y10" s="63">
        <f t="shared" si="5"/>
        <v>0</v>
      </c>
      <c r="Z10" s="63">
        <f t="shared" si="5"/>
        <v>0</v>
      </c>
      <c r="AA10" s="63">
        <f t="shared" si="5"/>
        <v>0</v>
      </c>
      <c r="AB10" s="63">
        <f t="shared" si="5"/>
        <v>0</v>
      </c>
      <c r="AC10" s="63">
        <f t="shared" si="5"/>
        <v>0</v>
      </c>
      <c r="AD10" s="63">
        <f t="shared" si="5"/>
        <v>0</v>
      </c>
      <c r="AE10" s="63">
        <f t="shared" si="5"/>
        <v>0</v>
      </c>
      <c r="AF10" s="63">
        <f t="shared" si="5"/>
        <v>0</v>
      </c>
      <c r="AG10" s="63">
        <f t="shared" si="5"/>
        <v>0</v>
      </c>
      <c r="AH10" s="63">
        <f t="shared" si="5"/>
        <v>0</v>
      </c>
      <c r="AI10" s="79">
        <f t="shared" si="5"/>
        <v>0</v>
      </c>
    </row>
    <row r="11" spans="1:160" s="80" customFormat="1">
      <c r="A11" s="95" t="str">
        <f>G3</f>
        <v>Anno 3</v>
      </c>
      <c r="B11" s="80" t="str">
        <f>$B5</f>
        <v>IT (software, hardware)</v>
      </c>
      <c r="C11" s="81">
        <f>$C$5</f>
        <v>0.2</v>
      </c>
      <c r="D11" s="52"/>
      <c r="E11" s="85"/>
      <c r="F11" s="64"/>
      <c r="G11" s="64">
        <f>IF($D11*$C11&gt;=$D12,$D12,$D11*$C11)</f>
        <v>0</v>
      </c>
      <c r="H11" s="64">
        <f t="shared" ref="H11:AI11" si="6">IF($D11*$C11&gt;=G12,G12,$D11*$C11)</f>
        <v>0</v>
      </c>
      <c r="I11" s="64">
        <f t="shared" si="6"/>
        <v>0</v>
      </c>
      <c r="J11" s="64">
        <f t="shared" si="6"/>
        <v>0</v>
      </c>
      <c r="K11" s="64">
        <f t="shared" si="6"/>
        <v>0</v>
      </c>
      <c r="L11" s="64">
        <f t="shared" si="6"/>
        <v>0</v>
      </c>
      <c r="M11" s="64">
        <f t="shared" si="6"/>
        <v>0</v>
      </c>
      <c r="N11" s="64">
        <f t="shared" si="6"/>
        <v>0</v>
      </c>
      <c r="O11" s="64">
        <f t="shared" si="6"/>
        <v>0</v>
      </c>
      <c r="P11" s="64">
        <f t="shared" si="6"/>
        <v>0</v>
      </c>
      <c r="Q11" s="64">
        <f t="shared" si="6"/>
        <v>0</v>
      </c>
      <c r="R11" s="64">
        <f t="shared" si="6"/>
        <v>0</v>
      </c>
      <c r="S11" s="64">
        <f t="shared" si="6"/>
        <v>0</v>
      </c>
      <c r="T11" s="64">
        <f t="shared" si="6"/>
        <v>0</v>
      </c>
      <c r="U11" s="64">
        <f t="shared" si="6"/>
        <v>0</v>
      </c>
      <c r="V11" s="64">
        <f t="shared" si="6"/>
        <v>0</v>
      </c>
      <c r="W11" s="64">
        <f t="shared" si="6"/>
        <v>0</v>
      </c>
      <c r="X11" s="64">
        <f t="shared" si="6"/>
        <v>0</v>
      </c>
      <c r="Y11" s="64">
        <f t="shared" si="6"/>
        <v>0</v>
      </c>
      <c r="Z11" s="64">
        <f t="shared" si="6"/>
        <v>0</v>
      </c>
      <c r="AA11" s="64">
        <f t="shared" si="6"/>
        <v>0</v>
      </c>
      <c r="AB11" s="64">
        <f t="shared" si="6"/>
        <v>0</v>
      </c>
      <c r="AC11" s="64">
        <f t="shared" si="6"/>
        <v>0</v>
      </c>
      <c r="AD11" s="64">
        <f t="shared" si="6"/>
        <v>0</v>
      </c>
      <c r="AE11" s="64">
        <f t="shared" si="6"/>
        <v>0</v>
      </c>
      <c r="AF11" s="64">
        <f t="shared" si="6"/>
        <v>0</v>
      </c>
      <c r="AG11" s="64">
        <f t="shared" si="6"/>
        <v>0</v>
      </c>
      <c r="AH11" s="64">
        <f t="shared" si="6"/>
        <v>0</v>
      </c>
      <c r="AI11" s="86">
        <f t="shared" si="6"/>
        <v>0</v>
      </c>
      <c r="FD11" s="59"/>
    </row>
    <row r="12" spans="1:160">
      <c r="A12" s="60" t="str">
        <f>G3</f>
        <v>Anno 3</v>
      </c>
      <c r="B12" s="59" t="s">
        <v>61</v>
      </c>
      <c r="C12" s="81"/>
      <c r="D12" s="52">
        <f>D11</f>
        <v>0</v>
      </c>
      <c r="E12" s="78"/>
      <c r="G12" s="63">
        <f>$D12-G11</f>
        <v>0</v>
      </c>
      <c r="H12" s="63">
        <f t="shared" ref="H12:AI12" si="7">IF(G12-H11&gt;0,G12-H11,0)</f>
        <v>0</v>
      </c>
      <c r="I12" s="63">
        <f t="shared" si="7"/>
        <v>0</v>
      </c>
      <c r="J12" s="63">
        <f t="shared" si="7"/>
        <v>0</v>
      </c>
      <c r="K12" s="63">
        <f t="shared" si="7"/>
        <v>0</v>
      </c>
      <c r="L12" s="63">
        <f t="shared" si="7"/>
        <v>0</v>
      </c>
      <c r="M12" s="63">
        <f t="shared" si="7"/>
        <v>0</v>
      </c>
      <c r="N12" s="63">
        <f t="shared" si="7"/>
        <v>0</v>
      </c>
      <c r="O12" s="63">
        <f t="shared" si="7"/>
        <v>0</v>
      </c>
      <c r="P12" s="63">
        <f t="shared" si="7"/>
        <v>0</v>
      </c>
      <c r="Q12" s="63">
        <f t="shared" si="7"/>
        <v>0</v>
      </c>
      <c r="R12" s="63">
        <f t="shared" si="7"/>
        <v>0</v>
      </c>
      <c r="S12" s="63">
        <f t="shared" si="7"/>
        <v>0</v>
      </c>
      <c r="T12" s="63">
        <f t="shared" si="7"/>
        <v>0</v>
      </c>
      <c r="U12" s="63">
        <f t="shared" si="7"/>
        <v>0</v>
      </c>
      <c r="V12" s="63">
        <f t="shared" si="7"/>
        <v>0</v>
      </c>
      <c r="W12" s="63">
        <f t="shared" si="7"/>
        <v>0</v>
      </c>
      <c r="X12" s="63">
        <f t="shared" si="7"/>
        <v>0</v>
      </c>
      <c r="Y12" s="63">
        <f t="shared" si="7"/>
        <v>0</v>
      </c>
      <c r="Z12" s="63">
        <f t="shared" si="7"/>
        <v>0</v>
      </c>
      <c r="AA12" s="63">
        <f t="shared" si="7"/>
        <v>0</v>
      </c>
      <c r="AB12" s="63">
        <f t="shared" si="7"/>
        <v>0</v>
      </c>
      <c r="AC12" s="63">
        <f t="shared" si="7"/>
        <v>0</v>
      </c>
      <c r="AD12" s="63">
        <f t="shared" si="7"/>
        <v>0</v>
      </c>
      <c r="AE12" s="63">
        <f t="shared" si="7"/>
        <v>0</v>
      </c>
      <c r="AF12" s="63">
        <f t="shared" si="7"/>
        <v>0</v>
      </c>
      <c r="AG12" s="63">
        <f t="shared" si="7"/>
        <v>0</v>
      </c>
      <c r="AH12" s="63">
        <f t="shared" si="7"/>
        <v>0</v>
      </c>
      <c r="AI12" s="79">
        <f t="shared" si="7"/>
        <v>0</v>
      </c>
    </row>
    <row r="13" spans="1:160" s="80" customFormat="1">
      <c r="A13" s="95" t="str">
        <f>H3</f>
        <v>Anno 4</v>
      </c>
      <c r="B13" s="80" t="str">
        <f>$B5</f>
        <v>IT (software, hardware)</v>
      </c>
      <c r="C13" s="81">
        <f>$C$5</f>
        <v>0.2</v>
      </c>
      <c r="D13" s="52"/>
      <c r="E13" s="85"/>
      <c r="F13" s="64"/>
      <c r="G13" s="64"/>
      <c r="H13" s="64">
        <f>IF($D13*$C13&gt;=$D14,$D14,$D13*$C13)</f>
        <v>0</v>
      </c>
      <c r="I13" s="64">
        <f t="shared" ref="I13:AI13" si="8">IF($D13*$C13&gt;=H14,H14,$D13*$C13)</f>
        <v>0</v>
      </c>
      <c r="J13" s="64">
        <f t="shared" si="8"/>
        <v>0</v>
      </c>
      <c r="K13" s="64">
        <f t="shared" si="8"/>
        <v>0</v>
      </c>
      <c r="L13" s="64">
        <f t="shared" si="8"/>
        <v>0</v>
      </c>
      <c r="M13" s="64">
        <f t="shared" si="8"/>
        <v>0</v>
      </c>
      <c r="N13" s="64">
        <f t="shared" si="8"/>
        <v>0</v>
      </c>
      <c r="O13" s="64">
        <f t="shared" si="8"/>
        <v>0</v>
      </c>
      <c r="P13" s="64">
        <f t="shared" si="8"/>
        <v>0</v>
      </c>
      <c r="Q13" s="64">
        <f t="shared" si="8"/>
        <v>0</v>
      </c>
      <c r="R13" s="64">
        <f t="shared" si="8"/>
        <v>0</v>
      </c>
      <c r="S13" s="64">
        <f t="shared" si="8"/>
        <v>0</v>
      </c>
      <c r="T13" s="64">
        <f t="shared" si="8"/>
        <v>0</v>
      </c>
      <c r="U13" s="64">
        <f t="shared" si="8"/>
        <v>0</v>
      </c>
      <c r="V13" s="64">
        <f t="shared" si="8"/>
        <v>0</v>
      </c>
      <c r="W13" s="64">
        <f t="shared" si="8"/>
        <v>0</v>
      </c>
      <c r="X13" s="64">
        <f t="shared" si="8"/>
        <v>0</v>
      </c>
      <c r="Y13" s="64">
        <f t="shared" si="8"/>
        <v>0</v>
      </c>
      <c r="Z13" s="64">
        <f t="shared" si="8"/>
        <v>0</v>
      </c>
      <c r="AA13" s="64">
        <f t="shared" si="8"/>
        <v>0</v>
      </c>
      <c r="AB13" s="64">
        <f t="shared" si="8"/>
        <v>0</v>
      </c>
      <c r="AC13" s="64">
        <f t="shared" si="8"/>
        <v>0</v>
      </c>
      <c r="AD13" s="64">
        <f t="shared" si="8"/>
        <v>0</v>
      </c>
      <c r="AE13" s="64">
        <f t="shared" si="8"/>
        <v>0</v>
      </c>
      <c r="AF13" s="64">
        <f t="shared" si="8"/>
        <v>0</v>
      </c>
      <c r="AG13" s="64">
        <f t="shared" si="8"/>
        <v>0</v>
      </c>
      <c r="AH13" s="64">
        <f t="shared" si="8"/>
        <v>0</v>
      </c>
      <c r="AI13" s="86">
        <f t="shared" si="8"/>
        <v>0</v>
      </c>
      <c r="FD13" s="59"/>
    </row>
    <row r="14" spans="1:160">
      <c r="A14" s="60" t="str">
        <f>H3</f>
        <v>Anno 4</v>
      </c>
      <c r="B14" s="59" t="s">
        <v>61</v>
      </c>
      <c r="C14" s="81"/>
      <c r="D14" s="52">
        <f>D13</f>
        <v>0</v>
      </c>
      <c r="E14" s="78"/>
      <c r="H14" s="63">
        <f>$D14-H13</f>
        <v>0</v>
      </c>
      <c r="I14" s="63">
        <f t="shared" ref="I14:AI14" si="9">IF(H14-I13&gt;0,H14-I13,0)</f>
        <v>0</v>
      </c>
      <c r="J14" s="63">
        <f t="shared" si="9"/>
        <v>0</v>
      </c>
      <c r="K14" s="63">
        <f t="shared" si="9"/>
        <v>0</v>
      </c>
      <c r="L14" s="63">
        <f t="shared" si="9"/>
        <v>0</v>
      </c>
      <c r="M14" s="63">
        <f t="shared" si="9"/>
        <v>0</v>
      </c>
      <c r="N14" s="63">
        <f t="shared" si="9"/>
        <v>0</v>
      </c>
      <c r="O14" s="63">
        <f t="shared" si="9"/>
        <v>0</v>
      </c>
      <c r="P14" s="63">
        <f t="shared" si="9"/>
        <v>0</v>
      </c>
      <c r="Q14" s="63">
        <f t="shared" si="9"/>
        <v>0</v>
      </c>
      <c r="R14" s="63">
        <f t="shared" si="9"/>
        <v>0</v>
      </c>
      <c r="S14" s="63">
        <f t="shared" si="9"/>
        <v>0</v>
      </c>
      <c r="T14" s="63">
        <f t="shared" si="9"/>
        <v>0</v>
      </c>
      <c r="U14" s="63">
        <f t="shared" si="9"/>
        <v>0</v>
      </c>
      <c r="V14" s="63">
        <f t="shared" si="9"/>
        <v>0</v>
      </c>
      <c r="W14" s="63">
        <f t="shared" si="9"/>
        <v>0</v>
      </c>
      <c r="X14" s="63">
        <f t="shared" si="9"/>
        <v>0</v>
      </c>
      <c r="Y14" s="63">
        <f t="shared" si="9"/>
        <v>0</v>
      </c>
      <c r="Z14" s="63">
        <f t="shared" si="9"/>
        <v>0</v>
      </c>
      <c r="AA14" s="63">
        <f t="shared" si="9"/>
        <v>0</v>
      </c>
      <c r="AB14" s="63">
        <f t="shared" si="9"/>
        <v>0</v>
      </c>
      <c r="AC14" s="63">
        <f t="shared" si="9"/>
        <v>0</v>
      </c>
      <c r="AD14" s="63">
        <f t="shared" si="9"/>
        <v>0</v>
      </c>
      <c r="AE14" s="63">
        <f t="shared" si="9"/>
        <v>0</v>
      </c>
      <c r="AF14" s="63">
        <f t="shared" si="9"/>
        <v>0</v>
      </c>
      <c r="AG14" s="63">
        <f t="shared" si="9"/>
        <v>0</v>
      </c>
      <c r="AH14" s="63">
        <f t="shared" si="9"/>
        <v>0</v>
      </c>
      <c r="AI14" s="79">
        <f t="shared" si="9"/>
        <v>0</v>
      </c>
    </row>
    <row r="15" spans="1:160" s="80" customFormat="1">
      <c r="A15" s="95" t="str">
        <f>I3</f>
        <v>Anno 5</v>
      </c>
      <c r="B15" s="80" t="str">
        <f>$B5</f>
        <v>IT (software, hardware)</v>
      </c>
      <c r="C15" s="81">
        <f>$C$5</f>
        <v>0.2</v>
      </c>
      <c r="D15" s="52"/>
      <c r="E15" s="85"/>
      <c r="F15" s="64"/>
      <c r="G15" s="64"/>
      <c r="H15" s="64"/>
      <c r="I15" s="64">
        <f>IF($D15*$C15&gt;=$D16,$D16,$D15*$C15)</f>
        <v>0</v>
      </c>
      <c r="J15" s="64">
        <f t="shared" ref="J15:AI15" si="10">IF($D15*$C15&gt;=I16,I16,$D15*$C15)</f>
        <v>0</v>
      </c>
      <c r="K15" s="64">
        <f t="shared" si="10"/>
        <v>0</v>
      </c>
      <c r="L15" s="64">
        <f t="shared" si="10"/>
        <v>0</v>
      </c>
      <c r="M15" s="64">
        <f t="shared" si="10"/>
        <v>0</v>
      </c>
      <c r="N15" s="64">
        <f t="shared" si="10"/>
        <v>0</v>
      </c>
      <c r="O15" s="64">
        <f t="shared" si="10"/>
        <v>0</v>
      </c>
      <c r="P15" s="64">
        <f t="shared" si="10"/>
        <v>0</v>
      </c>
      <c r="Q15" s="64">
        <f t="shared" si="10"/>
        <v>0</v>
      </c>
      <c r="R15" s="64">
        <f t="shared" si="10"/>
        <v>0</v>
      </c>
      <c r="S15" s="64">
        <f t="shared" si="10"/>
        <v>0</v>
      </c>
      <c r="T15" s="64">
        <f t="shared" si="10"/>
        <v>0</v>
      </c>
      <c r="U15" s="64">
        <f t="shared" si="10"/>
        <v>0</v>
      </c>
      <c r="V15" s="64">
        <f t="shared" si="10"/>
        <v>0</v>
      </c>
      <c r="W15" s="64">
        <f t="shared" si="10"/>
        <v>0</v>
      </c>
      <c r="X15" s="64">
        <f t="shared" si="10"/>
        <v>0</v>
      </c>
      <c r="Y15" s="64">
        <f t="shared" si="10"/>
        <v>0</v>
      </c>
      <c r="Z15" s="64">
        <f t="shared" si="10"/>
        <v>0</v>
      </c>
      <c r="AA15" s="64">
        <f t="shared" si="10"/>
        <v>0</v>
      </c>
      <c r="AB15" s="64">
        <f t="shared" si="10"/>
        <v>0</v>
      </c>
      <c r="AC15" s="64">
        <f t="shared" si="10"/>
        <v>0</v>
      </c>
      <c r="AD15" s="64">
        <f t="shared" si="10"/>
        <v>0</v>
      </c>
      <c r="AE15" s="64">
        <f t="shared" si="10"/>
        <v>0</v>
      </c>
      <c r="AF15" s="64">
        <f t="shared" si="10"/>
        <v>0</v>
      </c>
      <c r="AG15" s="64">
        <f t="shared" si="10"/>
        <v>0</v>
      </c>
      <c r="AH15" s="64">
        <f t="shared" si="10"/>
        <v>0</v>
      </c>
      <c r="AI15" s="86">
        <f t="shared" si="10"/>
        <v>0</v>
      </c>
      <c r="FD15" s="59"/>
    </row>
    <row r="16" spans="1:160">
      <c r="A16" s="60" t="str">
        <f>I3</f>
        <v>Anno 5</v>
      </c>
      <c r="B16" s="59" t="s">
        <v>61</v>
      </c>
      <c r="C16" s="81"/>
      <c r="D16" s="52">
        <f>D15</f>
        <v>0</v>
      </c>
      <c r="E16" s="78"/>
      <c r="I16" s="63">
        <f>$D16-I15</f>
        <v>0</v>
      </c>
      <c r="J16" s="63">
        <f t="shared" ref="J16:AI16" si="11">IF(I16-J15&gt;0,I16-J15,0)</f>
        <v>0</v>
      </c>
      <c r="K16" s="63">
        <f t="shared" si="11"/>
        <v>0</v>
      </c>
      <c r="L16" s="63">
        <f t="shared" si="11"/>
        <v>0</v>
      </c>
      <c r="M16" s="63">
        <f t="shared" si="11"/>
        <v>0</v>
      </c>
      <c r="N16" s="63">
        <f t="shared" si="11"/>
        <v>0</v>
      </c>
      <c r="O16" s="63">
        <f t="shared" si="11"/>
        <v>0</v>
      </c>
      <c r="P16" s="63">
        <f t="shared" si="11"/>
        <v>0</v>
      </c>
      <c r="Q16" s="63">
        <f t="shared" si="11"/>
        <v>0</v>
      </c>
      <c r="R16" s="63">
        <f t="shared" si="11"/>
        <v>0</v>
      </c>
      <c r="S16" s="63">
        <f t="shared" si="11"/>
        <v>0</v>
      </c>
      <c r="T16" s="63">
        <f t="shared" si="11"/>
        <v>0</v>
      </c>
      <c r="U16" s="63">
        <f t="shared" si="11"/>
        <v>0</v>
      </c>
      <c r="V16" s="63">
        <f t="shared" si="11"/>
        <v>0</v>
      </c>
      <c r="W16" s="63">
        <f t="shared" si="11"/>
        <v>0</v>
      </c>
      <c r="X16" s="63">
        <f t="shared" si="11"/>
        <v>0</v>
      </c>
      <c r="Y16" s="63">
        <f t="shared" si="11"/>
        <v>0</v>
      </c>
      <c r="Z16" s="63">
        <f t="shared" si="11"/>
        <v>0</v>
      </c>
      <c r="AA16" s="63">
        <f t="shared" si="11"/>
        <v>0</v>
      </c>
      <c r="AB16" s="63">
        <f t="shared" si="11"/>
        <v>0</v>
      </c>
      <c r="AC16" s="63">
        <f t="shared" si="11"/>
        <v>0</v>
      </c>
      <c r="AD16" s="63">
        <f t="shared" si="11"/>
        <v>0</v>
      </c>
      <c r="AE16" s="63">
        <f t="shared" si="11"/>
        <v>0</v>
      </c>
      <c r="AF16" s="63">
        <f t="shared" si="11"/>
        <v>0</v>
      </c>
      <c r="AG16" s="63">
        <f t="shared" si="11"/>
        <v>0</v>
      </c>
      <c r="AH16" s="63">
        <f t="shared" si="11"/>
        <v>0</v>
      </c>
      <c r="AI16" s="79">
        <f t="shared" si="11"/>
        <v>0</v>
      </c>
    </row>
    <row r="17" spans="1:160" s="80" customFormat="1">
      <c r="A17" s="95" t="str">
        <f>J3</f>
        <v>Anno 6</v>
      </c>
      <c r="B17" s="80" t="str">
        <f>$B5</f>
        <v>IT (software, hardware)</v>
      </c>
      <c r="C17" s="81">
        <f>$C$5</f>
        <v>0.2</v>
      </c>
      <c r="D17" s="52"/>
      <c r="E17" s="85"/>
      <c r="F17" s="64"/>
      <c r="G17" s="64"/>
      <c r="H17" s="64"/>
      <c r="I17" s="64"/>
      <c r="J17" s="64">
        <f>IF($D17*$C17&gt;=$D18,$D18,$D17*$C17)</f>
        <v>0</v>
      </c>
      <c r="K17" s="64">
        <f t="shared" ref="K17:AI17" si="12">IF($D17*$C17&gt;=J18,J18,$D17*$C17)</f>
        <v>0</v>
      </c>
      <c r="L17" s="64">
        <f t="shared" si="12"/>
        <v>0</v>
      </c>
      <c r="M17" s="64">
        <f t="shared" si="12"/>
        <v>0</v>
      </c>
      <c r="N17" s="64">
        <f t="shared" si="12"/>
        <v>0</v>
      </c>
      <c r="O17" s="64">
        <f t="shared" si="12"/>
        <v>0</v>
      </c>
      <c r="P17" s="64">
        <f t="shared" si="12"/>
        <v>0</v>
      </c>
      <c r="Q17" s="64">
        <f t="shared" si="12"/>
        <v>0</v>
      </c>
      <c r="R17" s="64">
        <f t="shared" si="12"/>
        <v>0</v>
      </c>
      <c r="S17" s="64">
        <f t="shared" si="12"/>
        <v>0</v>
      </c>
      <c r="T17" s="64">
        <f t="shared" si="12"/>
        <v>0</v>
      </c>
      <c r="U17" s="64">
        <f t="shared" si="12"/>
        <v>0</v>
      </c>
      <c r="V17" s="64">
        <f t="shared" si="12"/>
        <v>0</v>
      </c>
      <c r="W17" s="64">
        <f t="shared" si="12"/>
        <v>0</v>
      </c>
      <c r="X17" s="64">
        <f t="shared" si="12"/>
        <v>0</v>
      </c>
      <c r="Y17" s="64">
        <f t="shared" si="12"/>
        <v>0</v>
      </c>
      <c r="Z17" s="64">
        <f t="shared" si="12"/>
        <v>0</v>
      </c>
      <c r="AA17" s="64">
        <f t="shared" si="12"/>
        <v>0</v>
      </c>
      <c r="AB17" s="64">
        <f t="shared" si="12"/>
        <v>0</v>
      </c>
      <c r="AC17" s="64">
        <f t="shared" si="12"/>
        <v>0</v>
      </c>
      <c r="AD17" s="64">
        <f t="shared" si="12"/>
        <v>0</v>
      </c>
      <c r="AE17" s="64">
        <f t="shared" si="12"/>
        <v>0</v>
      </c>
      <c r="AF17" s="64">
        <f t="shared" si="12"/>
        <v>0</v>
      </c>
      <c r="AG17" s="64">
        <f t="shared" si="12"/>
        <v>0</v>
      </c>
      <c r="AH17" s="64">
        <f t="shared" si="12"/>
        <v>0</v>
      </c>
      <c r="AI17" s="86">
        <f t="shared" si="12"/>
        <v>0</v>
      </c>
      <c r="FD17" s="59"/>
    </row>
    <row r="18" spans="1:160">
      <c r="A18" s="60" t="str">
        <f>J3</f>
        <v>Anno 6</v>
      </c>
      <c r="B18" s="59" t="s">
        <v>61</v>
      </c>
      <c r="C18" s="81"/>
      <c r="D18" s="52">
        <f>D17</f>
        <v>0</v>
      </c>
      <c r="E18" s="78"/>
      <c r="J18" s="63">
        <f>$D18-J17</f>
        <v>0</v>
      </c>
      <c r="K18" s="63">
        <f t="shared" ref="K18:AI18" si="13">IF(J18-K17&gt;0,J18-K17,0)</f>
        <v>0</v>
      </c>
      <c r="L18" s="63">
        <f t="shared" si="13"/>
        <v>0</v>
      </c>
      <c r="M18" s="63">
        <f t="shared" si="13"/>
        <v>0</v>
      </c>
      <c r="N18" s="63">
        <f t="shared" si="13"/>
        <v>0</v>
      </c>
      <c r="O18" s="63">
        <f t="shared" si="13"/>
        <v>0</v>
      </c>
      <c r="P18" s="63">
        <f t="shared" si="13"/>
        <v>0</v>
      </c>
      <c r="Q18" s="63">
        <f t="shared" si="13"/>
        <v>0</v>
      </c>
      <c r="R18" s="63">
        <f t="shared" si="13"/>
        <v>0</v>
      </c>
      <c r="S18" s="63">
        <f t="shared" si="13"/>
        <v>0</v>
      </c>
      <c r="T18" s="63">
        <f t="shared" si="13"/>
        <v>0</v>
      </c>
      <c r="U18" s="63">
        <f t="shared" si="13"/>
        <v>0</v>
      </c>
      <c r="V18" s="63">
        <f t="shared" si="13"/>
        <v>0</v>
      </c>
      <c r="W18" s="63">
        <f t="shared" si="13"/>
        <v>0</v>
      </c>
      <c r="X18" s="63">
        <f t="shared" si="13"/>
        <v>0</v>
      </c>
      <c r="Y18" s="63">
        <f t="shared" si="13"/>
        <v>0</v>
      </c>
      <c r="Z18" s="63">
        <f t="shared" si="13"/>
        <v>0</v>
      </c>
      <c r="AA18" s="63">
        <f t="shared" si="13"/>
        <v>0</v>
      </c>
      <c r="AB18" s="63">
        <f t="shared" si="13"/>
        <v>0</v>
      </c>
      <c r="AC18" s="63">
        <f t="shared" si="13"/>
        <v>0</v>
      </c>
      <c r="AD18" s="63">
        <f t="shared" si="13"/>
        <v>0</v>
      </c>
      <c r="AE18" s="63">
        <f t="shared" si="13"/>
        <v>0</v>
      </c>
      <c r="AF18" s="63">
        <f t="shared" si="13"/>
        <v>0</v>
      </c>
      <c r="AG18" s="63">
        <f t="shared" si="13"/>
        <v>0</v>
      </c>
      <c r="AH18" s="63">
        <f t="shared" si="13"/>
        <v>0</v>
      </c>
      <c r="AI18" s="79">
        <f t="shared" si="13"/>
        <v>0</v>
      </c>
    </row>
    <row r="19" spans="1:160" s="80" customFormat="1">
      <c r="A19" s="95" t="str">
        <f>K3</f>
        <v>Anno 7</v>
      </c>
      <c r="B19" s="80" t="str">
        <f>$B5</f>
        <v>IT (software, hardware)</v>
      </c>
      <c r="C19" s="81">
        <f>$C$5</f>
        <v>0.2</v>
      </c>
      <c r="D19" s="52"/>
      <c r="E19" s="85"/>
      <c r="F19" s="64"/>
      <c r="G19" s="64"/>
      <c r="H19" s="64"/>
      <c r="I19" s="64"/>
      <c r="J19" s="87"/>
      <c r="K19" s="64">
        <f>IF($D19*$C19&gt;=$D20,$D20,$D19*$C19)</f>
        <v>0</v>
      </c>
      <c r="L19" s="64">
        <f t="shared" ref="L19:AI19" si="14">IF($D19*$C19&gt;=K20,K20,$D19*$C19)</f>
        <v>0</v>
      </c>
      <c r="M19" s="64">
        <f t="shared" si="14"/>
        <v>0</v>
      </c>
      <c r="N19" s="64">
        <f t="shared" si="14"/>
        <v>0</v>
      </c>
      <c r="O19" s="64">
        <f t="shared" si="14"/>
        <v>0</v>
      </c>
      <c r="P19" s="64">
        <f t="shared" si="14"/>
        <v>0</v>
      </c>
      <c r="Q19" s="64">
        <f t="shared" si="14"/>
        <v>0</v>
      </c>
      <c r="R19" s="64">
        <f t="shared" si="14"/>
        <v>0</v>
      </c>
      <c r="S19" s="64">
        <f t="shared" si="14"/>
        <v>0</v>
      </c>
      <c r="T19" s="64">
        <f t="shared" si="14"/>
        <v>0</v>
      </c>
      <c r="U19" s="64">
        <f t="shared" si="14"/>
        <v>0</v>
      </c>
      <c r="V19" s="64">
        <f t="shared" si="14"/>
        <v>0</v>
      </c>
      <c r="W19" s="64">
        <f t="shared" si="14"/>
        <v>0</v>
      </c>
      <c r="X19" s="64">
        <f t="shared" si="14"/>
        <v>0</v>
      </c>
      <c r="Y19" s="64">
        <f t="shared" si="14"/>
        <v>0</v>
      </c>
      <c r="Z19" s="64">
        <f t="shared" si="14"/>
        <v>0</v>
      </c>
      <c r="AA19" s="64">
        <f t="shared" si="14"/>
        <v>0</v>
      </c>
      <c r="AB19" s="64">
        <f t="shared" si="14"/>
        <v>0</v>
      </c>
      <c r="AC19" s="64">
        <f t="shared" si="14"/>
        <v>0</v>
      </c>
      <c r="AD19" s="64">
        <f t="shared" si="14"/>
        <v>0</v>
      </c>
      <c r="AE19" s="64">
        <f t="shared" si="14"/>
        <v>0</v>
      </c>
      <c r="AF19" s="64">
        <f t="shared" si="14"/>
        <v>0</v>
      </c>
      <c r="AG19" s="64">
        <f t="shared" si="14"/>
        <v>0</v>
      </c>
      <c r="AH19" s="64">
        <f t="shared" si="14"/>
        <v>0</v>
      </c>
      <c r="AI19" s="86">
        <f t="shared" si="14"/>
        <v>0</v>
      </c>
      <c r="FD19" s="59"/>
    </row>
    <row r="20" spans="1:160">
      <c r="A20" s="60" t="str">
        <f>K3</f>
        <v>Anno 7</v>
      </c>
      <c r="B20" s="59" t="s">
        <v>61</v>
      </c>
      <c r="C20" s="81"/>
      <c r="D20" s="52">
        <f>D19</f>
        <v>0</v>
      </c>
      <c r="E20" s="78"/>
      <c r="K20" s="63">
        <f>$D20-K19</f>
        <v>0</v>
      </c>
      <c r="L20" s="63">
        <f t="shared" ref="L20:AI20" si="15">IF(K20-L19&gt;0,K20-L19,0)</f>
        <v>0</v>
      </c>
      <c r="M20" s="63">
        <f t="shared" si="15"/>
        <v>0</v>
      </c>
      <c r="N20" s="63">
        <f t="shared" si="15"/>
        <v>0</v>
      </c>
      <c r="O20" s="63">
        <f t="shared" si="15"/>
        <v>0</v>
      </c>
      <c r="P20" s="63">
        <f t="shared" si="15"/>
        <v>0</v>
      </c>
      <c r="Q20" s="63">
        <f t="shared" si="15"/>
        <v>0</v>
      </c>
      <c r="R20" s="63">
        <f t="shared" si="15"/>
        <v>0</v>
      </c>
      <c r="S20" s="63">
        <f t="shared" si="15"/>
        <v>0</v>
      </c>
      <c r="T20" s="63">
        <f t="shared" si="15"/>
        <v>0</v>
      </c>
      <c r="U20" s="63">
        <f t="shared" si="15"/>
        <v>0</v>
      </c>
      <c r="V20" s="63">
        <f t="shared" si="15"/>
        <v>0</v>
      </c>
      <c r="W20" s="63">
        <f t="shared" si="15"/>
        <v>0</v>
      </c>
      <c r="X20" s="63">
        <f t="shared" si="15"/>
        <v>0</v>
      </c>
      <c r="Y20" s="63">
        <f t="shared" si="15"/>
        <v>0</v>
      </c>
      <c r="Z20" s="63">
        <f t="shared" si="15"/>
        <v>0</v>
      </c>
      <c r="AA20" s="63">
        <f t="shared" si="15"/>
        <v>0</v>
      </c>
      <c r="AB20" s="63">
        <f t="shared" si="15"/>
        <v>0</v>
      </c>
      <c r="AC20" s="63">
        <f t="shared" si="15"/>
        <v>0</v>
      </c>
      <c r="AD20" s="63">
        <f t="shared" si="15"/>
        <v>0</v>
      </c>
      <c r="AE20" s="63">
        <f t="shared" si="15"/>
        <v>0</v>
      </c>
      <c r="AF20" s="63">
        <f t="shared" si="15"/>
        <v>0</v>
      </c>
      <c r="AG20" s="63">
        <f t="shared" si="15"/>
        <v>0</v>
      </c>
      <c r="AH20" s="63">
        <f t="shared" si="15"/>
        <v>0</v>
      </c>
      <c r="AI20" s="79">
        <f t="shared" si="15"/>
        <v>0</v>
      </c>
    </row>
    <row r="21" spans="1:160" s="80" customFormat="1">
      <c r="A21" s="95" t="str">
        <f>L3</f>
        <v>Anno 8</v>
      </c>
      <c r="B21" s="80" t="str">
        <f>$B5</f>
        <v>IT (software, hardware)</v>
      </c>
      <c r="C21" s="81">
        <f>$C$5</f>
        <v>0.2</v>
      </c>
      <c r="D21" s="52"/>
      <c r="E21" s="85"/>
      <c r="F21" s="64"/>
      <c r="G21" s="64"/>
      <c r="H21" s="64"/>
      <c r="I21" s="64"/>
      <c r="J21" s="87"/>
      <c r="K21" s="87"/>
      <c r="L21" s="64">
        <f>IF($D21*$C21&gt;=$D22,$D22,$D21*$C21)</f>
        <v>0</v>
      </c>
      <c r="M21" s="64">
        <f t="shared" ref="M21:AI21" si="16">IF($D21*$C21&gt;=L22,L22,$D21*$C21)</f>
        <v>0</v>
      </c>
      <c r="N21" s="64">
        <f t="shared" si="16"/>
        <v>0</v>
      </c>
      <c r="O21" s="64">
        <f t="shared" si="16"/>
        <v>0</v>
      </c>
      <c r="P21" s="64">
        <f t="shared" si="16"/>
        <v>0</v>
      </c>
      <c r="Q21" s="64">
        <f t="shared" si="16"/>
        <v>0</v>
      </c>
      <c r="R21" s="64">
        <f t="shared" si="16"/>
        <v>0</v>
      </c>
      <c r="S21" s="64">
        <f t="shared" si="16"/>
        <v>0</v>
      </c>
      <c r="T21" s="64">
        <f t="shared" si="16"/>
        <v>0</v>
      </c>
      <c r="U21" s="64">
        <f t="shared" si="16"/>
        <v>0</v>
      </c>
      <c r="V21" s="64">
        <f t="shared" si="16"/>
        <v>0</v>
      </c>
      <c r="W21" s="64">
        <f t="shared" si="16"/>
        <v>0</v>
      </c>
      <c r="X21" s="64">
        <f t="shared" si="16"/>
        <v>0</v>
      </c>
      <c r="Y21" s="64">
        <f t="shared" si="16"/>
        <v>0</v>
      </c>
      <c r="Z21" s="64">
        <f t="shared" si="16"/>
        <v>0</v>
      </c>
      <c r="AA21" s="64">
        <f t="shared" si="16"/>
        <v>0</v>
      </c>
      <c r="AB21" s="64">
        <f t="shared" si="16"/>
        <v>0</v>
      </c>
      <c r="AC21" s="64">
        <f t="shared" si="16"/>
        <v>0</v>
      </c>
      <c r="AD21" s="64">
        <f t="shared" si="16"/>
        <v>0</v>
      </c>
      <c r="AE21" s="64">
        <f t="shared" si="16"/>
        <v>0</v>
      </c>
      <c r="AF21" s="64">
        <f t="shared" si="16"/>
        <v>0</v>
      </c>
      <c r="AG21" s="64">
        <f t="shared" si="16"/>
        <v>0</v>
      </c>
      <c r="AH21" s="64">
        <f t="shared" si="16"/>
        <v>0</v>
      </c>
      <c r="AI21" s="86">
        <f t="shared" si="16"/>
        <v>0</v>
      </c>
      <c r="FD21" s="59"/>
    </row>
    <row r="22" spans="1:160">
      <c r="A22" s="60" t="str">
        <f>L3</f>
        <v>Anno 8</v>
      </c>
      <c r="B22" s="59" t="s">
        <v>61</v>
      </c>
      <c r="C22" s="81"/>
      <c r="D22" s="52">
        <f>D21</f>
        <v>0</v>
      </c>
      <c r="E22" s="78"/>
      <c r="L22" s="63">
        <f>$D22-L21</f>
        <v>0</v>
      </c>
      <c r="M22" s="63">
        <f t="shared" ref="M22:AI22" si="17">IF(L22-M21&gt;0,L22-M21,0)</f>
        <v>0</v>
      </c>
      <c r="N22" s="63">
        <f t="shared" si="17"/>
        <v>0</v>
      </c>
      <c r="O22" s="63">
        <f t="shared" si="17"/>
        <v>0</v>
      </c>
      <c r="P22" s="63">
        <f t="shared" si="17"/>
        <v>0</v>
      </c>
      <c r="Q22" s="63">
        <f t="shared" si="17"/>
        <v>0</v>
      </c>
      <c r="R22" s="63">
        <f t="shared" si="17"/>
        <v>0</v>
      </c>
      <c r="S22" s="63">
        <f t="shared" si="17"/>
        <v>0</v>
      </c>
      <c r="T22" s="63">
        <f t="shared" si="17"/>
        <v>0</v>
      </c>
      <c r="U22" s="63">
        <f t="shared" si="17"/>
        <v>0</v>
      </c>
      <c r="V22" s="63">
        <f t="shared" si="17"/>
        <v>0</v>
      </c>
      <c r="W22" s="63">
        <f t="shared" si="17"/>
        <v>0</v>
      </c>
      <c r="X22" s="63">
        <f t="shared" si="17"/>
        <v>0</v>
      </c>
      <c r="Y22" s="63">
        <f t="shared" si="17"/>
        <v>0</v>
      </c>
      <c r="Z22" s="63">
        <f t="shared" si="17"/>
        <v>0</v>
      </c>
      <c r="AA22" s="63">
        <f t="shared" si="17"/>
        <v>0</v>
      </c>
      <c r="AB22" s="63">
        <f t="shared" si="17"/>
        <v>0</v>
      </c>
      <c r="AC22" s="63">
        <f t="shared" si="17"/>
        <v>0</v>
      </c>
      <c r="AD22" s="63">
        <f t="shared" si="17"/>
        <v>0</v>
      </c>
      <c r="AE22" s="63">
        <f t="shared" si="17"/>
        <v>0</v>
      </c>
      <c r="AF22" s="63">
        <f t="shared" si="17"/>
        <v>0</v>
      </c>
      <c r="AG22" s="63">
        <f t="shared" si="17"/>
        <v>0</v>
      </c>
      <c r="AH22" s="63">
        <f t="shared" si="17"/>
        <v>0</v>
      </c>
      <c r="AI22" s="79">
        <f t="shared" si="17"/>
        <v>0</v>
      </c>
    </row>
    <row r="23" spans="1:160" s="80" customFormat="1">
      <c r="A23" s="95" t="str">
        <f>M3</f>
        <v>Anno 9</v>
      </c>
      <c r="B23" s="80" t="str">
        <f>$B5</f>
        <v>IT (software, hardware)</v>
      </c>
      <c r="C23" s="81">
        <f>$C$5</f>
        <v>0.2</v>
      </c>
      <c r="D23" s="52"/>
      <c r="E23" s="85"/>
      <c r="F23" s="64"/>
      <c r="G23" s="64"/>
      <c r="H23" s="64"/>
      <c r="I23" s="64"/>
      <c r="J23" s="87"/>
      <c r="K23" s="87"/>
      <c r="L23" s="87"/>
      <c r="M23" s="64">
        <f>IF($D23*$C23&gt;=$D24,$D24,$D23*$C23)</f>
        <v>0</v>
      </c>
      <c r="N23" s="64">
        <f t="shared" ref="N23:AI23" si="18">IF($D23*$C23&gt;=M24,M24,$D23*$C23)</f>
        <v>0</v>
      </c>
      <c r="O23" s="64">
        <f t="shared" si="18"/>
        <v>0</v>
      </c>
      <c r="P23" s="64">
        <f t="shared" si="18"/>
        <v>0</v>
      </c>
      <c r="Q23" s="64">
        <f t="shared" si="18"/>
        <v>0</v>
      </c>
      <c r="R23" s="64">
        <f t="shared" si="18"/>
        <v>0</v>
      </c>
      <c r="S23" s="64">
        <f t="shared" si="18"/>
        <v>0</v>
      </c>
      <c r="T23" s="64">
        <f t="shared" si="18"/>
        <v>0</v>
      </c>
      <c r="U23" s="64">
        <f t="shared" si="18"/>
        <v>0</v>
      </c>
      <c r="V23" s="64">
        <f t="shared" si="18"/>
        <v>0</v>
      </c>
      <c r="W23" s="64">
        <f t="shared" si="18"/>
        <v>0</v>
      </c>
      <c r="X23" s="64">
        <f t="shared" si="18"/>
        <v>0</v>
      </c>
      <c r="Y23" s="64">
        <f t="shared" si="18"/>
        <v>0</v>
      </c>
      <c r="Z23" s="64">
        <f t="shared" si="18"/>
        <v>0</v>
      </c>
      <c r="AA23" s="64">
        <f t="shared" si="18"/>
        <v>0</v>
      </c>
      <c r="AB23" s="64">
        <f t="shared" si="18"/>
        <v>0</v>
      </c>
      <c r="AC23" s="64">
        <f t="shared" si="18"/>
        <v>0</v>
      </c>
      <c r="AD23" s="64">
        <f t="shared" si="18"/>
        <v>0</v>
      </c>
      <c r="AE23" s="64">
        <f t="shared" si="18"/>
        <v>0</v>
      </c>
      <c r="AF23" s="64">
        <f t="shared" si="18"/>
        <v>0</v>
      </c>
      <c r="AG23" s="64">
        <f t="shared" si="18"/>
        <v>0</v>
      </c>
      <c r="AH23" s="64">
        <f t="shared" si="18"/>
        <v>0</v>
      </c>
      <c r="AI23" s="86">
        <f t="shared" si="18"/>
        <v>0</v>
      </c>
      <c r="FD23" s="59"/>
    </row>
    <row r="24" spans="1:160">
      <c r="A24" s="60" t="str">
        <f>M3</f>
        <v>Anno 9</v>
      </c>
      <c r="B24" s="59" t="s">
        <v>61</v>
      </c>
      <c r="C24" s="81"/>
      <c r="D24" s="52">
        <f>D23</f>
        <v>0</v>
      </c>
      <c r="E24" s="78"/>
      <c r="M24" s="63">
        <f>$D24-M23</f>
        <v>0</v>
      </c>
      <c r="N24" s="63">
        <f t="shared" ref="N24:AI24" si="19">IF(M24-N23&gt;0,M24-N23,0)</f>
        <v>0</v>
      </c>
      <c r="O24" s="63">
        <f t="shared" si="19"/>
        <v>0</v>
      </c>
      <c r="P24" s="63">
        <f t="shared" si="19"/>
        <v>0</v>
      </c>
      <c r="Q24" s="63">
        <f t="shared" si="19"/>
        <v>0</v>
      </c>
      <c r="R24" s="63">
        <f t="shared" si="19"/>
        <v>0</v>
      </c>
      <c r="S24" s="63">
        <f t="shared" si="19"/>
        <v>0</v>
      </c>
      <c r="T24" s="63">
        <f t="shared" si="19"/>
        <v>0</v>
      </c>
      <c r="U24" s="63">
        <f t="shared" si="19"/>
        <v>0</v>
      </c>
      <c r="V24" s="63">
        <f t="shared" si="19"/>
        <v>0</v>
      </c>
      <c r="W24" s="63">
        <f t="shared" si="19"/>
        <v>0</v>
      </c>
      <c r="X24" s="63">
        <f t="shared" si="19"/>
        <v>0</v>
      </c>
      <c r="Y24" s="63">
        <f t="shared" si="19"/>
        <v>0</v>
      </c>
      <c r="Z24" s="63">
        <f t="shared" si="19"/>
        <v>0</v>
      </c>
      <c r="AA24" s="63">
        <f t="shared" si="19"/>
        <v>0</v>
      </c>
      <c r="AB24" s="63">
        <f t="shared" si="19"/>
        <v>0</v>
      </c>
      <c r="AC24" s="63">
        <f t="shared" si="19"/>
        <v>0</v>
      </c>
      <c r="AD24" s="63">
        <f t="shared" si="19"/>
        <v>0</v>
      </c>
      <c r="AE24" s="63">
        <f t="shared" si="19"/>
        <v>0</v>
      </c>
      <c r="AF24" s="63">
        <f t="shared" si="19"/>
        <v>0</v>
      </c>
      <c r="AG24" s="63">
        <f t="shared" si="19"/>
        <v>0</v>
      </c>
      <c r="AH24" s="63">
        <f t="shared" si="19"/>
        <v>0</v>
      </c>
      <c r="AI24" s="79">
        <f t="shared" si="19"/>
        <v>0</v>
      </c>
    </row>
    <row r="25" spans="1:160" s="80" customFormat="1">
      <c r="A25" s="95" t="str">
        <f>N3</f>
        <v>Anno 10</v>
      </c>
      <c r="B25" s="80" t="str">
        <f>$B5</f>
        <v>IT (software, hardware)</v>
      </c>
      <c r="C25" s="81">
        <f>$C$5</f>
        <v>0.2</v>
      </c>
      <c r="D25" s="52"/>
      <c r="E25" s="85"/>
      <c r="F25" s="64"/>
      <c r="G25" s="64"/>
      <c r="H25" s="64"/>
      <c r="I25" s="64"/>
      <c r="J25" s="87"/>
      <c r="K25" s="87"/>
      <c r="L25" s="87"/>
      <c r="M25" s="87"/>
      <c r="N25" s="64">
        <f>IF($D25*$C25&gt;=$D26,$D26,$D25*$C25)</f>
        <v>0</v>
      </c>
      <c r="O25" s="64">
        <f t="shared" ref="O25:AI25" si="20">IF($D25*$C25&gt;=N26,N26,$D25*$C25)</f>
        <v>0</v>
      </c>
      <c r="P25" s="64">
        <f t="shared" si="20"/>
        <v>0</v>
      </c>
      <c r="Q25" s="64">
        <f t="shared" si="20"/>
        <v>0</v>
      </c>
      <c r="R25" s="64">
        <f t="shared" si="20"/>
        <v>0</v>
      </c>
      <c r="S25" s="64">
        <f t="shared" si="20"/>
        <v>0</v>
      </c>
      <c r="T25" s="64">
        <f t="shared" si="20"/>
        <v>0</v>
      </c>
      <c r="U25" s="64">
        <f t="shared" si="20"/>
        <v>0</v>
      </c>
      <c r="V25" s="64">
        <f t="shared" si="20"/>
        <v>0</v>
      </c>
      <c r="W25" s="64">
        <f t="shared" si="20"/>
        <v>0</v>
      </c>
      <c r="X25" s="64">
        <f t="shared" si="20"/>
        <v>0</v>
      </c>
      <c r="Y25" s="64">
        <f t="shared" si="20"/>
        <v>0</v>
      </c>
      <c r="Z25" s="64">
        <f t="shared" si="20"/>
        <v>0</v>
      </c>
      <c r="AA25" s="64">
        <f t="shared" si="20"/>
        <v>0</v>
      </c>
      <c r="AB25" s="64">
        <f t="shared" si="20"/>
        <v>0</v>
      </c>
      <c r="AC25" s="64">
        <f t="shared" si="20"/>
        <v>0</v>
      </c>
      <c r="AD25" s="64">
        <f t="shared" si="20"/>
        <v>0</v>
      </c>
      <c r="AE25" s="64">
        <f t="shared" si="20"/>
        <v>0</v>
      </c>
      <c r="AF25" s="64">
        <f t="shared" si="20"/>
        <v>0</v>
      </c>
      <c r="AG25" s="64">
        <f t="shared" si="20"/>
        <v>0</v>
      </c>
      <c r="AH25" s="64">
        <f t="shared" si="20"/>
        <v>0</v>
      </c>
      <c r="AI25" s="86">
        <f t="shared" si="20"/>
        <v>0</v>
      </c>
      <c r="FD25" s="59"/>
    </row>
    <row r="26" spans="1:160">
      <c r="A26" s="60" t="str">
        <f>N3</f>
        <v>Anno 10</v>
      </c>
      <c r="B26" s="59" t="s">
        <v>61</v>
      </c>
      <c r="C26" s="81"/>
      <c r="D26" s="52">
        <f>D25</f>
        <v>0</v>
      </c>
      <c r="E26" s="78"/>
      <c r="N26" s="63">
        <f>$D26-N25</f>
        <v>0</v>
      </c>
      <c r="O26" s="63">
        <f t="shared" ref="O26:AI26" si="21">IF(N26-O25&gt;0,N26-O25,0)</f>
        <v>0</v>
      </c>
      <c r="P26" s="63">
        <f t="shared" si="21"/>
        <v>0</v>
      </c>
      <c r="Q26" s="63">
        <f t="shared" si="21"/>
        <v>0</v>
      </c>
      <c r="R26" s="63">
        <f t="shared" si="21"/>
        <v>0</v>
      </c>
      <c r="S26" s="63">
        <f t="shared" si="21"/>
        <v>0</v>
      </c>
      <c r="T26" s="63">
        <f t="shared" si="21"/>
        <v>0</v>
      </c>
      <c r="U26" s="63">
        <f t="shared" si="21"/>
        <v>0</v>
      </c>
      <c r="V26" s="63">
        <f t="shared" si="21"/>
        <v>0</v>
      </c>
      <c r="W26" s="63">
        <f t="shared" si="21"/>
        <v>0</v>
      </c>
      <c r="X26" s="63">
        <f t="shared" si="21"/>
        <v>0</v>
      </c>
      <c r="Y26" s="63">
        <f t="shared" si="21"/>
        <v>0</v>
      </c>
      <c r="Z26" s="63">
        <f t="shared" si="21"/>
        <v>0</v>
      </c>
      <c r="AA26" s="63">
        <f t="shared" si="21"/>
        <v>0</v>
      </c>
      <c r="AB26" s="63">
        <f t="shared" si="21"/>
        <v>0</v>
      </c>
      <c r="AC26" s="63">
        <f t="shared" si="21"/>
        <v>0</v>
      </c>
      <c r="AD26" s="63">
        <f t="shared" si="21"/>
        <v>0</v>
      </c>
      <c r="AE26" s="63">
        <f t="shared" si="21"/>
        <v>0</v>
      </c>
      <c r="AF26" s="63">
        <f t="shared" si="21"/>
        <v>0</v>
      </c>
      <c r="AG26" s="63">
        <f t="shared" si="21"/>
        <v>0</v>
      </c>
      <c r="AH26" s="63">
        <f t="shared" si="21"/>
        <v>0</v>
      </c>
      <c r="AI26" s="79">
        <f t="shared" si="21"/>
        <v>0</v>
      </c>
    </row>
    <row r="27" spans="1:160" s="80" customFormat="1">
      <c r="A27" s="95" t="str">
        <f>O3</f>
        <v>Anno 11</v>
      </c>
      <c r="B27" s="80" t="str">
        <f>$B5</f>
        <v>IT (software, hardware)</v>
      </c>
      <c r="C27" s="81">
        <f>$C$5</f>
        <v>0.2</v>
      </c>
      <c r="D27" s="52"/>
      <c r="E27" s="85"/>
      <c r="F27" s="64"/>
      <c r="G27" s="64"/>
      <c r="H27" s="64"/>
      <c r="I27" s="64"/>
      <c r="J27" s="87"/>
      <c r="K27" s="87"/>
      <c r="L27" s="87"/>
      <c r="M27" s="87"/>
      <c r="N27" s="87"/>
      <c r="O27" s="64">
        <f>IF($D27*$C27&gt;=$D28,$D28,$D27*$C27)</f>
        <v>0</v>
      </c>
      <c r="P27" s="64">
        <f t="shared" ref="P27:AI27" si="22">IF($D27*$C27&gt;=O28,O28,$D27*$C27)</f>
        <v>0</v>
      </c>
      <c r="Q27" s="64">
        <f t="shared" si="22"/>
        <v>0</v>
      </c>
      <c r="R27" s="64">
        <f t="shared" si="22"/>
        <v>0</v>
      </c>
      <c r="S27" s="64">
        <f t="shared" si="22"/>
        <v>0</v>
      </c>
      <c r="T27" s="64">
        <f t="shared" si="22"/>
        <v>0</v>
      </c>
      <c r="U27" s="64">
        <f t="shared" si="22"/>
        <v>0</v>
      </c>
      <c r="V27" s="64">
        <f t="shared" si="22"/>
        <v>0</v>
      </c>
      <c r="W27" s="64">
        <f t="shared" si="22"/>
        <v>0</v>
      </c>
      <c r="X27" s="64">
        <f t="shared" si="22"/>
        <v>0</v>
      </c>
      <c r="Y27" s="64">
        <f t="shared" si="22"/>
        <v>0</v>
      </c>
      <c r="Z27" s="64">
        <f t="shared" si="22"/>
        <v>0</v>
      </c>
      <c r="AA27" s="64">
        <f t="shared" si="22"/>
        <v>0</v>
      </c>
      <c r="AB27" s="64">
        <f t="shared" si="22"/>
        <v>0</v>
      </c>
      <c r="AC27" s="64">
        <f t="shared" si="22"/>
        <v>0</v>
      </c>
      <c r="AD27" s="64">
        <f t="shared" si="22"/>
        <v>0</v>
      </c>
      <c r="AE27" s="64">
        <f t="shared" si="22"/>
        <v>0</v>
      </c>
      <c r="AF27" s="64">
        <f t="shared" si="22"/>
        <v>0</v>
      </c>
      <c r="AG27" s="64">
        <f t="shared" si="22"/>
        <v>0</v>
      </c>
      <c r="AH27" s="64">
        <f t="shared" si="22"/>
        <v>0</v>
      </c>
      <c r="AI27" s="86">
        <f t="shared" si="22"/>
        <v>0</v>
      </c>
      <c r="FD27" s="59"/>
    </row>
    <row r="28" spans="1:160">
      <c r="A28" s="60" t="str">
        <f>O3</f>
        <v>Anno 11</v>
      </c>
      <c r="B28" s="59" t="s">
        <v>61</v>
      </c>
      <c r="C28" s="81"/>
      <c r="D28" s="52">
        <f>D27</f>
        <v>0</v>
      </c>
      <c r="E28" s="78"/>
      <c r="O28" s="63">
        <f>$D28-O27</f>
        <v>0</v>
      </c>
      <c r="P28" s="63">
        <f t="shared" ref="P28:AI28" si="23">IF(O28-P27&gt;0,O28-P27,0)</f>
        <v>0</v>
      </c>
      <c r="Q28" s="63">
        <f t="shared" si="23"/>
        <v>0</v>
      </c>
      <c r="R28" s="63">
        <f t="shared" si="23"/>
        <v>0</v>
      </c>
      <c r="S28" s="63">
        <f t="shared" si="23"/>
        <v>0</v>
      </c>
      <c r="T28" s="63">
        <f t="shared" si="23"/>
        <v>0</v>
      </c>
      <c r="U28" s="63">
        <f t="shared" si="23"/>
        <v>0</v>
      </c>
      <c r="V28" s="63">
        <f t="shared" si="23"/>
        <v>0</v>
      </c>
      <c r="W28" s="63">
        <f t="shared" si="23"/>
        <v>0</v>
      </c>
      <c r="X28" s="63">
        <f t="shared" si="23"/>
        <v>0</v>
      </c>
      <c r="Y28" s="63">
        <f t="shared" si="23"/>
        <v>0</v>
      </c>
      <c r="Z28" s="63">
        <f t="shared" si="23"/>
        <v>0</v>
      </c>
      <c r="AA28" s="63">
        <f t="shared" si="23"/>
        <v>0</v>
      </c>
      <c r="AB28" s="63">
        <f t="shared" si="23"/>
        <v>0</v>
      </c>
      <c r="AC28" s="63">
        <f t="shared" si="23"/>
        <v>0</v>
      </c>
      <c r="AD28" s="63">
        <f t="shared" si="23"/>
        <v>0</v>
      </c>
      <c r="AE28" s="63">
        <f t="shared" si="23"/>
        <v>0</v>
      </c>
      <c r="AF28" s="63">
        <f t="shared" si="23"/>
        <v>0</v>
      </c>
      <c r="AG28" s="63">
        <f t="shared" si="23"/>
        <v>0</v>
      </c>
      <c r="AH28" s="63">
        <f t="shared" si="23"/>
        <v>0</v>
      </c>
      <c r="AI28" s="79">
        <f t="shared" si="23"/>
        <v>0</v>
      </c>
    </row>
    <row r="29" spans="1:160" s="80" customFormat="1">
      <c r="A29" s="95" t="str">
        <f>P3</f>
        <v>Anno 12</v>
      </c>
      <c r="B29" s="80" t="str">
        <f>$B5</f>
        <v>IT (software, hardware)</v>
      </c>
      <c r="C29" s="81">
        <f>$C$5</f>
        <v>0.2</v>
      </c>
      <c r="D29" s="52"/>
      <c r="E29" s="85"/>
      <c r="F29" s="64"/>
      <c r="G29" s="64"/>
      <c r="H29" s="64"/>
      <c r="I29" s="64"/>
      <c r="J29" s="87"/>
      <c r="K29" s="87"/>
      <c r="L29" s="87"/>
      <c r="M29" s="87"/>
      <c r="N29" s="87"/>
      <c r="O29" s="87"/>
      <c r="P29" s="64">
        <f>IF($D29*$C29&gt;=$D30,$D30,$D29*$C29)</f>
        <v>0</v>
      </c>
      <c r="Q29" s="64">
        <f t="shared" ref="Q29:AI29" si="24">IF($D29*$C29&gt;=P30,P30,$D29*$C29)</f>
        <v>0</v>
      </c>
      <c r="R29" s="64">
        <f t="shared" si="24"/>
        <v>0</v>
      </c>
      <c r="S29" s="64">
        <f t="shared" si="24"/>
        <v>0</v>
      </c>
      <c r="T29" s="64">
        <f t="shared" si="24"/>
        <v>0</v>
      </c>
      <c r="U29" s="64">
        <f t="shared" si="24"/>
        <v>0</v>
      </c>
      <c r="V29" s="64">
        <f t="shared" si="24"/>
        <v>0</v>
      </c>
      <c r="W29" s="64">
        <f t="shared" si="24"/>
        <v>0</v>
      </c>
      <c r="X29" s="64">
        <f t="shared" si="24"/>
        <v>0</v>
      </c>
      <c r="Y29" s="64">
        <f t="shared" si="24"/>
        <v>0</v>
      </c>
      <c r="Z29" s="64">
        <f t="shared" si="24"/>
        <v>0</v>
      </c>
      <c r="AA29" s="64">
        <f t="shared" si="24"/>
        <v>0</v>
      </c>
      <c r="AB29" s="64">
        <f t="shared" si="24"/>
        <v>0</v>
      </c>
      <c r="AC29" s="64">
        <f t="shared" si="24"/>
        <v>0</v>
      </c>
      <c r="AD29" s="64">
        <f t="shared" si="24"/>
        <v>0</v>
      </c>
      <c r="AE29" s="64">
        <f t="shared" si="24"/>
        <v>0</v>
      </c>
      <c r="AF29" s="64">
        <f t="shared" si="24"/>
        <v>0</v>
      </c>
      <c r="AG29" s="64">
        <f t="shared" si="24"/>
        <v>0</v>
      </c>
      <c r="AH29" s="64">
        <f t="shared" si="24"/>
        <v>0</v>
      </c>
      <c r="AI29" s="86">
        <f t="shared" si="24"/>
        <v>0</v>
      </c>
      <c r="FD29" s="59"/>
    </row>
    <row r="30" spans="1:160">
      <c r="A30" s="60" t="str">
        <f>P3</f>
        <v>Anno 12</v>
      </c>
      <c r="B30" s="59" t="s">
        <v>61</v>
      </c>
      <c r="C30" s="88"/>
      <c r="D30" s="52">
        <f>D29</f>
        <v>0</v>
      </c>
      <c r="E30" s="78"/>
      <c r="P30" s="63">
        <f>$D30-P29</f>
        <v>0</v>
      </c>
      <c r="Q30" s="63">
        <f t="shared" ref="Q30:AI30" si="25">IF(P30-Q29&gt;0,P30-Q29,0)</f>
        <v>0</v>
      </c>
      <c r="R30" s="63">
        <f t="shared" si="25"/>
        <v>0</v>
      </c>
      <c r="S30" s="63">
        <f t="shared" si="25"/>
        <v>0</v>
      </c>
      <c r="T30" s="63">
        <f t="shared" si="25"/>
        <v>0</v>
      </c>
      <c r="U30" s="63">
        <f t="shared" si="25"/>
        <v>0</v>
      </c>
      <c r="V30" s="63">
        <f t="shared" si="25"/>
        <v>0</v>
      </c>
      <c r="W30" s="63">
        <f t="shared" si="25"/>
        <v>0</v>
      </c>
      <c r="X30" s="63">
        <f t="shared" si="25"/>
        <v>0</v>
      </c>
      <c r="Y30" s="63">
        <f t="shared" si="25"/>
        <v>0</v>
      </c>
      <c r="Z30" s="63">
        <f t="shared" si="25"/>
        <v>0</v>
      </c>
      <c r="AA30" s="63">
        <f t="shared" si="25"/>
        <v>0</v>
      </c>
      <c r="AB30" s="63">
        <f t="shared" si="25"/>
        <v>0</v>
      </c>
      <c r="AC30" s="63">
        <f t="shared" si="25"/>
        <v>0</v>
      </c>
      <c r="AD30" s="63">
        <f t="shared" si="25"/>
        <v>0</v>
      </c>
      <c r="AE30" s="63">
        <f t="shared" si="25"/>
        <v>0</v>
      </c>
      <c r="AF30" s="63">
        <f t="shared" si="25"/>
        <v>0</v>
      </c>
      <c r="AG30" s="63">
        <f t="shared" si="25"/>
        <v>0</v>
      </c>
      <c r="AH30" s="63">
        <f t="shared" si="25"/>
        <v>0</v>
      </c>
      <c r="AI30" s="79">
        <f t="shared" si="25"/>
        <v>0</v>
      </c>
    </row>
    <row r="31" spans="1:160">
      <c r="A31" s="95" t="str">
        <f>Q3</f>
        <v>Anno 13</v>
      </c>
      <c r="B31" s="80" t="str">
        <f>$B29</f>
        <v>IT (software, hardware)</v>
      </c>
      <c r="C31" s="81">
        <f>$C$5</f>
        <v>0.2</v>
      </c>
      <c r="D31" s="52"/>
      <c r="E31" s="78"/>
      <c r="Q31" s="64">
        <f>IF($D31*$C31&gt;=$D32,$D32,$D31*$C31)</f>
        <v>0</v>
      </c>
      <c r="R31" s="64">
        <f t="shared" ref="R31:AI31" si="26">IF($D31*$C31&gt;=Q32,Q32,$D31*$C31)</f>
        <v>0</v>
      </c>
      <c r="S31" s="64">
        <f t="shared" si="26"/>
        <v>0</v>
      </c>
      <c r="T31" s="64">
        <f t="shared" si="26"/>
        <v>0</v>
      </c>
      <c r="U31" s="64">
        <f t="shared" si="26"/>
        <v>0</v>
      </c>
      <c r="V31" s="64">
        <f t="shared" si="26"/>
        <v>0</v>
      </c>
      <c r="W31" s="64">
        <f t="shared" si="26"/>
        <v>0</v>
      </c>
      <c r="X31" s="64">
        <f t="shared" si="26"/>
        <v>0</v>
      </c>
      <c r="Y31" s="64">
        <f t="shared" si="26"/>
        <v>0</v>
      </c>
      <c r="Z31" s="64">
        <f t="shared" si="26"/>
        <v>0</v>
      </c>
      <c r="AA31" s="64">
        <f t="shared" si="26"/>
        <v>0</v>
      </c>
      <c r="AB31" s="64">
        <f t="shared" si="26"/>
        <v>0</v>
      </c>
      <c r="AC31" s="64">
        <f t="shared" si="26"/>
        <v>0</v>
      </c>
      <c r="AD31" s="64">
        <f t="shared" si="26"/>
        <v>0</v>
      </c>
      <c r="AE31" s="64">
        <f t="shared" si="26"/>
        <v>0</v>
      </c>
      <c r="AF31" s="64">
        <f t="shared" si="26"/>
        <v>0</v>
      </c>
      <c r="AG31" s="64">
        <f t="shared" si="26"/>
        <v>0</v>
      </c>
      <c r="AH31" s="64">
        <f t="shared" si="26"/>
        <v>0</v>
      </c>
      <c r="AI31" s="86">
        <f t="shared" si="26"/>
        <v>0</v>
      </c>
    </row>
    <row r="32" spans="1:160">
      <c r="A32" s="60" t="str">
        <f>Q3</f>
        <v>Anno 13</v>
      </c>
      <c r="B32" s="59" t="s">
        <v>61</v>
      </c>
      <c r="C32" s="81"/>
      <c r="D32" s="52">
        <f>D31</f>
        <v>0</v>
      </c>
      <c r="E32" s="78"/>
      <c r="Q32" s="63">
        <f>$D32-Q31</f>
        <v>0</v>
      </c>
      <c r="R32" s="63">
        <f t="shared" ref="R32:AI32" si="27">IF(Q32-R31&gt;0,Q32-R31,0)</f>
        <v>0</v>
      </c>
      <c r="S32" s="63">
        <f t="shared" si="27"/>
        <v>0</v>
      </c>
      <c r="T32" s="63">
        <f t="shared" si="27"/>
        <v>0</v>
      </c>
      <c r="U32" s="63">
        <f t="shared" si="27"/>
        <v>0</v>
      </c>
      <c r="V32" s="63">
        <f t="shared" si="27"/>
        <v>0</v>
      </c>
      <c r="W32" s="63">
        <f t="shared" si="27"/>
        <v>0</v>
      </c>
      <c r="X32" s="63">
        <f t="shared" si="27"/>
        <v>0</v>
      </c>
      <c r="Y32" s="63">
        <f t="shared" si="27"/>
        <v>0</v>
      </c>
      <c r="Z32" s="63">
        <f t="shared" si="27"/>
        <v>0</v>
      </c>
      <c r="AA32" s="63">
        <f t="shared" si="27"/>
        <v>0</v>
      </c>
      <c r="AB32" s="63">
        <f t="shared" si="27"/>
        <v>0</v>
      </c>
      <c r="AC32" s="63">
        <f t="shared" si="27"/>
        <v>0</v>
      </c>
      <c r="AD32" s="63">
        <f t="shared" si="27"/>
        <v>0</v>
      </c>
      <c r="AE32" s="63">
        <f t="shared" si="27"/>
        <v>0</v>
      </c>
      <c r="AF32" s="63">
        <f t="shared" si="27"/>
        <v>0</v>
      </c>
      <c r="AG32" s="63">
        <f t="shared" si="27"/>
        <v>0</v>
      </c>
      <c r="AH32" s="63">
        <f t="shared" si="27"/>
        <v>0</v>
      </c>
      <c r="AI32" s="79">
        <f t="shared" si="27"/>
        <v>0</v>
      </c>
    </row>
    <row r="33" spans="1:35">
      <c r="A33" s="95" t="str">
        <f>R3</f>
        <v>Anno 14</v>
      </c>
      <c r="B33" s="80" t="str">
        <f>$B29</f>
        <v>IT (software, hardware)</v>
      </c>
      <c r="C33" s="81">
        <f>$C$5</f>
        <v>0.2</v>
      </c>
      <c r="D33" s="52"/>
      <c r="E33" s="78"/>
      <c r="Q33" s="64"/>
      <c r="R33" s="64">
        <f>IF($D33*$C33&gt;=$D34,$D34,$D33*$C33)</f>
        <v>0</v>
      </c>
      <c r="S33" s="64">
        <f t="shared" ref="S33:AI33" si="28">IF($D33*$C33&gt;=R34,R34,$D33*$C33)</f>
        <v>0</v>
      </c>
      <c r="T33" s="64">
        <f t="shared" si="28"/>
        <v>0</v>
      </c>
      <c r="U33" s="64">
        <f t="shared" si="28"/>
        <v>0</v>
      </c>
      <c r="V33" s="64">
        <f t="shared" si="28"/>
        <v>0</v>
      </c>
      <c r="W33" s="64">
        <f t="shared" si="28"/>
        <v>0</v>
      </c>
      <c r="X33" s="64">
        <f t="shared" si="28"/>
        <v>0</v>
      </c>
      <c r="Y33" s="64">
        <f t="shared" si="28"/>
        <v>0</v>
      </c>
      <c r="Z33" s="64">
        <f t="shared" si="28"/>
        <v>0</v>
      </c>
      <c r="AA33" s="64">
        <f t="shared" si="28"/>
        <v>0</v>
      </c>
      <c r="AB33" s="64">
        <f t="shared" si="28"/>
        <v>0</v>
      </c>
      <c r="AC33" s="64">
        <f t="shared" si="28"/>
        <v>0</v>
      </c>
      <c r="AD33" s="64">
        <f t="shared" si="28"/>
        <v>0</v>
      </c>
      <c r="AE33" s="64">
        <f t="shared" si="28"/>
        <v>0</v>
      </c>
      <c r="AF33" s="64">
        <f t="shared" si="28"/>
        <v>0</v>
      </c>
      <c r="AG33" s="64">
        <f t="shared" si="28"/>
        <v>0</v>
      </c>
      <c r="AH33" s="64">
        <f t="shared" si="28"/>
        <v>0</v>
      </c>
      <c r="AI33" s="86">
        <f t="shared" si="28"/>
        <v>0</v>
      </c>
    </row>
    <row r="34" spans="1:35">
      <c r="A34" s="60" t="str">
        <f>R3</f>
        <v>Anno 14</v>
      </c>
      <c r="B34" s="59" t="s">
        <v>61</v>
      </c>
      <c r="C34" s="81"/>
      <c r="D34" s="52">
        <f>D33</f>
        <v>0</v>
      </c>
      <c r="E34" s="78"/>
      <c r="Q34" s="63"/>
      <c r="R34" s="63">
        <f>$D34-R33</f>
        <v>0</v>
      </c>
      <c r="S34" s="63">
        <f t="shared" ref="S34:AI34" si="29">IF(R34-S33&gt;0,R34-S33,0)</f>
        <v>0</v>
      </c>
      <c r="T34" s="63">
        <f t="shared" si="29"/>
        <v>0</v>
      </c>
      <c r="U34" s="63">
        <f t="shared" si="29"/>
        <v>0</v>
      </c>
      <c r="V34" s="63">
        <f t="shared" si="29"/>
        <v>0</v>
      </c>
      <c r="W34" s="63">
        <f t="shared" si="29"/>
        <v>0</v>
      </c>
      <c r="X34" s="63">
        <f t="shared" si="29"/>
        <v>0</v>
      </c>
      <c r="Y34" s="63">
        <f t="shared" si="29"/>
        <v>0</v>
      </c>
      <c r="Z34" s="63">
        <f t="shared" si="29"/>
        <v>0</v>
      </c>
      <c r="AA34" s="63">
        <f t="shared" si="29"/>
        <v>0</v>
      </c>
      <c r="AB34" s="63">
        <f t="shared" si="29"/>
        <v>0</v>
      </c>
      <c r="AC34" s="63">
        <f t="shared" si="29"/>
        <v>0</v>
      </c>
      <c r="AD34" s="63">
        <f t="shared" si="29"/>
        <v>0</v>
      </c>
      <c r="AE34" s="63">
        <f t="shared" si="29"/>
        <v>0</v>
      </c>
      <c r="AF34" s="63">
        <f t="shared" si="29"/>
        <v>0</v>
      </c>
      <c r="AG34" s="63">
        <f t="shared" si="29"/>
        <v>0</v>
      </c>
      <c r="AH34" s="63">
        <f t="shared" si="29"/>
        <v>0</v>
      </c>
      <c r="AI34" s="79">
        <f t="shared" si="29"/>
        <v>0</v>
      </c>
    </row>
    <row r="35" spans="1:35">
      <c r="A35" s="95" t="str">
        <f>S3</f>
        <v>Anno 15</v>
      </c>
      <c r="B35" s="80" t="str">
        <f>$B29</f>
        <v>IT (software, hardware)</v>
      </c>
      <c r="C35" s="81">
        <f>$C$5</f>
        <v>0.2</v>
      </c>
      <c r="D35" s="52"/>
      <c r="E35" s="78"/>
      <c r="Q35" s="64"/>
      <c r="R35" s="64"/>
      <c r="S35" s="64">
        <f>IF($D35*$C35&gt;=$D36,$D36,$D35*$C35)</f>
        <v>0</v>
      </c>
      <c r="T35" s="64">
        <f t="shared" ref="T35:AI35" si="30">IF($D35*$C35&gt;=S36,S36,$D35*$C35)</f>
        <v>0</v>
      </c>
      <c r="U35" s="64">
        <f t="shared" si="30"/>
        <v>0</v>
      </c>
      <c r="V35" s="64">
        <f t="shared" si="30"/>
        <v>0</v>
      </c>
      <c r="W35" s="64">
        <f t="shared" si="30"/>
        <v>0</v>
      </c>
      <c r="X35" s="64">
        <f t="shared" si="30"/>
        <v>0</v>
      </c>
      <c r="Y35" s="64">
        <f t="shared" si="30"/>
        <v>0</v>
      </c>
      <c r="Z35" s="64">
        <f t="shared" si="30"/>
        <v>0</v>
      </c>
      <c r="AA35" s="64">
        <f t="shared" si="30"/>
        <v>0</v>
      </c>
      <c r="AB35" s="64">
        <f t="shared" si="30"/>
        <v>0</v>
      </c>
      <c r="AC35" s="64">
        <f t="shared" si="30"/>
        <v>0</v>
      </c>
      <c r="AD35" s="64">
        <f t="shared" si="30"/>
        <v>0</v>
      </c>
      <c r="AE35" s="64">
        <f t="shared" si="30"/>
        <v>0</v>
      </c>
      <c r="AF35" s="64">
        <f t="shared" si="30"/>
        <v>0</v>
      </c>
      <c r="AG35" s="64">
        <f t="shared" si="30"/>
        <v>0</v>
      </c>
      <c r="AH35" s="64">
        <f t="shared" si="30"/>
        <v>0</v>
      </c>
      <c r="AI35" s="86">
        <f t="shared" si="30"/>
        <v>0</v>
      </c>
    </row>
    <row r="36" spans="1:35">
      <c r="A36" s="60" t="str">
        <f>S3</f>
        <v>Anno 15</v>
      </c>
      <c r="B36" s="59" t="s">
        <v>61</v>
      </c>
      <c r="C36" s="81"/>
      <c r="D36" s="52">
        <f>D35</f>
        <v>0</v>
      </c>
      <c r="E36" s="78"/>
      <c r="Q36" s="63"/>
      <c r="R36" s="63"/>
      <c r="S36" s="63">
        <f>$D36-S35</f>
        <v>0</v>
      </c>
      <c r="T36" s="63">
        <f t="shared" ref="T36:AI36" si="31">IF(S36-T35&gt;0,S36-T35,0)</f>
        <v>0</v>
      </c>
      <c r="U36" s="63">
        <f t="shared" si="31"/>
        <v>0</v>
      </c>
      <c r="V36" s="63">
        <f t="shared" si="31"/>
        <v>0</v>
      </c>
      <c r="W36" s="63">
        <f t="shared" si="31"/>
        <v>0</v>
      </c>
      <c r="X36" s="63">
        <f t="shared" si="31"/>
        <v>0</v>
      </c>
      <c r="Y36" s="63">
        <f t="shared" si="31"/>
        <v>0</v>
      </c>
      <c r="Z36" s="63">
        <f t="shared" si="31"/>
        <v>0</v>
      </c>
      <c r="AA36" s="63">
        <f t="shared" si="31"/>
        <v>0</v>
      </c>
      <c r="AB36" s="63">
        <f t="shared" si="31"/>
        <v>0</v>
      </c>
      <c r="AC36" s="63">
        <f t="shared" si="31"/>
        <v>0</v>
      </c>
      <c r="AD36" s="63">
        <f t="shared" si="31"/>
        <v>0</v>
      </c>
      <c r="AE36" s="63">
        <f t="shared" si="31"/>
        <v>0</v>
      </c>
      <c r="AF36" s="63">
        <f t="shared" si="31"/>
        <v>0</v>
      </c>
      <c r="AG36" s="63">
        <f t="shared" si="31"/>
        <v>0</v>
      </c>
      <c r="AH36" s="63">
        <f t="shared" si="31"/>
        <v>0</v>
      </c>
      <c r="AI36" s="79">
        <f t="shared" si="31"/>
        <v>0</v>
      </c>
    </row>
    <row r="37" spans="1:35">
      <c r="A37" s="95" t="str">
        <f>T3</f>
        <v>Anno 16</v>
      </c>
      <c r="B37" s="80" t="str">
        <f>$B29</f>
        <v>IT (software, hardware)</v>
      </c>
      <c r="C37" s="81">
        <f>$C$5</f>
        <v>0.2</v>
      </c>
      <c r="D37" s="52"/>
      <c r="E37" s="78"/>
      <c r="Q37" s="64"/>
      <c r="R37" s="64"/>
      <c r="S37" s="64"/>
      <c r="T37" s="64">
        <f>IF($D37*$C37&gt;=$D38,$D38,$D37*$C37)</f>
        <v>0</v>
      </c>
      <c r="U37" s="64">
        <f t="shared" ref="U37:AI37" si="32">IF($D37*$C37&gt;=T38,T38,$D37*$C37)</f>
        <v>0</v>
      </c>
      <c r="V37" s="64">
        <f t="shared" si="32"/>
        <v>0</v>
      </c>
      <c r="W37" s="64">
        <f t="shared" si="32"/>
        <v>0</v>
      </c>
      <c r="X37" s="64">
        <f t="shared" si="32"/>
        <v>0</v>
      </c>
      <c r="Y37" s="64">
        <f t="shared" si="32"/>
        <v>0</v>
      </c>
      <c r="Z37" s="64">
        <f t="shared" si="32"/>
        <v>0</v>
      </c>
      <c r="AA37" s="64">
        <f t="shared" si="32"/>
        <v>0</v>
      </c>
      <c r="AB37" s="64">
        <f t="shared" si="32"/>
        <v>0</v>
      </c>
      <c r="AC37" s="64">
        <f t="shared" si="32"/>
        <v>0</v>
      </c>
      <c r="AD37" s="64">
        <f t="shared" si="32"/>
        <v>0</v>
      </c>
      <c r="AE37" s="64">
        <f t="shared" si="32"/>
        <v>0</v>
      </c>
      <c r="AF37" s="64">
        <f t="shared" si="32"/>
        <v>0</v>
      </c>
      <c r="AG37" s="64">
        <f t="shared" si="32"/>
        <v>0</v>
      </c>
      <c r="AH37" s="64">
        <f t="shared" si="32"/>
        <v>0</v>
      </c>
      <c r="AI37" s="86">
        <f t="shared" si="32"/>
        <v>0</v>
      </c>
    </row>
    <row r="38" spans="1:35">
      <c r="A38" s="60" t="str">
        <f>T3</f>
        <v>Anno 16</v>
      </c>
      <c r="B38" s="59" t="s">
        <v>61</v>
      </c>
      <c r="C38" s="81"/>
      <c r="D38" s="52">
        <f>D37</f>
        <v>0</v>
      </c>
      <c r="E38" s="78"/>
      <c r="Q38" s="63"/>
      <c r="R38" s="63"/>
      <c r="S38" s="63"/>
      <c r="T38" s="63">
        <f>$D38-T37</f>
        <v>0</v>
      </c>
      <c r="U38" s="63">
        <f t="shared" ref="U38:AI38" si="33">IF(T38-U37&gt;0,T38-U37,0)</f>
        <v>0</v>
      </c>
      <c r="V38" s="63">
        <f t="shared" si="33"/>
        <v>0</v>
      </c>
      <c r="W38" s="63">
        <f t="shared" si="33"/>
        <v>0</v>
      </c>
      <c r="X38" s="63">
        <f t="shared" si="33"/>
        <v>0</v>
      </c>
      <c r="Y38" s="63">
        <f t="shared" si="33"/>
        <v>0</v>
      </c>
      <c r="Z38" s="63">
        <f t="shared" si="33"/>
        <v>0</v>
      </c>
      <c r="AA38" s="63">
        <f t="shared" si="33"/>
        <v>0</v>
      </c>
      <c r="AB38" s="63">
        <f t="shared" si="33"/>
        <v>0</v>
      </c>
      <c r="AC38" s="63">
        <f t="shared" si="33"/>
        <v>0</v>
      </c>
      <c r="AD38" s="63">
        <f t="shared" si="33"/>
        <v>0</v>
      </c>
      <c r="AE38" s="63">
        <f t="shared" si="33"/>
        <v>0</v>
      </c>
      <c r="AF38" s="63">
        <f t="shared" si="33"/>
        <v>0</v>
      </c>
      <c r="AG38" s="63">
        <f t="shared" si="33"/>
        <v>0</v>
      </c>
      <c r="AH38" s="63">
        <f t="shared" si="33"/>
        <v>0</v>
      </c>
      <c r="AI38" s="79">
        <f t="shared" si="33"/>
        <v>0</v>
      </c>
    </row>
    <row r="39" spans="1:35">
      <c r="A39" s="95" t="str">
        <f>U3</f>
        <v>Anno 17</v>
      </c>
      <c r="B39" s="80" t="str">
        <f>$B29</f>
        <v>IT (software, hardware)</v>
      </c>
      <c r="C39" s="81">
        <f>$C$5</f>
        <v>0.2</v>
      </c>
      <c r="D39" s="52"/>
      <c r="E39" s="78"/>
      <c r="Q39" s="64"/>
      <c r="R39" s="64"/>
      <c r="S39" s="64"/>
      <c r="T39" s="64"/>
      <c r="U39" s="64">
        <f>IF($D39*$C39&gt;=$D40,$D40,$D39*$C39)</f>
        <v>0</v>
      </c>
      <c r="V39" s="64">
        <f t="shared" ref="V39:AI39" si="34">IF($D39*$C39&gt;=U40,U40,$D39*$C39)</f>
        <v>0</v>
      </c>
      <c r="W39" s="64">
        <f t="shared" si="34"/>
        <v>0</v>
      </c>
      <c r="X39" s="64">
        <f t="shared" si="34"/>
        <v>0</v>
      </c>
      <c r="Y39" s="64">
        <f t="shared" si="34"/>
        <v>0</v>
      </c>
      <c r="Z39" s="64">
        <f t="shared" si="34"/>
        <v>0</v>
      </c>
      <c r="AA39" s="64">
        <f t="shared" si="34"/>
        <v>0</v>
      </c>
      <c r="AB39" s="64">
        <f t="shared" si="34"/>
        <v>0</v>
      </c>
      <c r="AC39" s="64">
        <f t="shared" si="34"/>
        <v>0</v>
      </c>
      <c r="AD39" s="64">
        <f t="shared" si="34"/>
        <v>0</v>
      </c>
      <c r="AE39" s="64">
        <f t="shared" si="34"/>
        <v>0</v>
      </c>
      <c r="AF39" s="64">
        <f t="shared" si="34"/>
        <v>0</v>
      </c>
      <c r="AG39" s="64">
        <f t="shared" si="34"/>
        <v>0</v>
      </c>
      <c r="AH39" s="64">
        <f t="shared" si="34"/>
        <v>0</v>
      </c>
      <c r="AI39" s="86">
        <f t="shared" si="34"/>
        <v>0</v>
      </c>
    </row>
    <row r="40" spans="1:35">
      <c r="A40" s="60" t="str">
        <f>U3</f>
        <v>Anno 17</v>
      </c>
      <c r="B40" s="59" t="s">
        <v>61</v>
      </c>
      <c r="C40" s="81"/>
      <c r="D40" s="52">
        <f>D39</f>
        <v>0</v>
      </c>
      <c r="E40" s="78"/>
      <c r="Q40" s="63"/>
      <c r="R40" s="63"/>
      <c r="S40" s="63"/>
      <c r="T40" s="63"/>
      <c r="U40" s="63">
        <f>$D40-U39</f>
        <v>0</v>
      </c>
      <c r="V40" s="63">
        <f t="shared" ref="V40:AI40" si="35">IF(U40-V39&gt;0,U40-V39,0)</f>
        <v>0</v>
      </c>
      <c r="W40" s="63">
        <f t="shared" si="35"/>
        <v>0</v>
      </c>
      <c r="X40" s="63">
        <f t="shared" si="35"/>
        <v>0</v>
      </c>
      <c r="Y40" s="63">
        <f t="shared" si="35"/>
        <v>0</v>
      </c>
      <c r="Z40" s="63">
        <f t="shared" si="35"/>
        <v>0</v>
      </c>
      <c r="AA40" s="63">
        <f t="shared" si="35"/>
        <v>0</v>
      </c>
      <c r="AB40" s="63">
        <f t="shared" si="35"/>
        <v>0</v>
      </c>
      <c r="AC40" s="63">
        <f t="shared" si="35"/>
        <v>0</v>
      </c>
      <c r="AD40" s="63">
        <f t="shared" si="35"/>
        <v>0</v>
      </c>
      <c r="AE40" s="63">
        <f t="shared" si="35"/>
        <v>0</v>
      </c>
      <c r="AF40" s="63">
        <f t="shared" si="35"/>
        <v>0</v>
      </c>
      <c r="AG40" s="63">
        <f t="shared" si="35"/>
        <v>0</v>
      </c>
      <c r="AH40" s="63">
        <f t="shared" si="35"/>
        <v>0</v>
      </c>
      <c r="AI40" s="79">
        <f t="shared" si="35"/>
        <v>0</v>
      </c>
    </row>
    <row r="41" spans="1:35">
      <c r="A41" s="95" t="str">
        <f>V3</f>
        <v>Anno 18</v>
      </c>
      <c r="B41" s="80" t="str">
        <f>$B29</f>
        <v>IT (software, hardware)</v>
      </c>
      <c r="C41" s="81">
        <f>$C$5</f>
        <v>0.2</v>
      </c>
      <c r="D41" s="52"/>
      <c r="E41" s="78"/>
      <c r="Q41" s="64"/>
      <c r="R41" s="64"/>
      <c r="S41" s="64"/>
      <c r="T41" s="64"/>
      <c r="U41" s="64"/>
      <c r="V41" s="64">
        <f>IF($D41*$C41&gt;=$D42,$D42,$D41*$C41)</f>
        <v>0</v>
      </c>
      <c r="W41" s="64">
        <f t="shared" ref="W41:AI41" si="36">IF($D41*$C41&gt;=V42,V42,$D41*$C41)</f>
        <v>0</v>
      </c>
      <c r="X41" s="64">
        <f t="shared" si="36"/>
        <v>0</v>
      </c>
      <c r="Y41" s="64">
        <f t="shared" si="36"/>
        <v>0</v>
      </c>
      <c r="Z41" s="64">
        <f t="shared" si="36"/>
        <v>0</v>
      </c>
      <c r="AA41" s="64">
        <f t="shared" si="36"/>
        <v>0</v>
      </c>
      <c r="AB41" s="64">
        <f t="shared" si="36"/>
        <v>0</v>
      </c>
      <c r="AC41" s="64">
        <f t="shared" si="36"/>
        <v>0</v>
      </c>
      <c r="AD41" s="64">
        <f t="shared" si="36"/>
        <v>0</v>
      </c>
      <c r="AE41" s="64">
        <f t="shared" si="36"/>
        <v>0</v>
      </c>
      <c r="AF41" s="64">
        <f t="shared" si="36"/>
        <v>0</v>
      </c>
      <c r="AG41" s="64">
        <f t="shared" si="36"/>
        <v>0</v>
      </c>
      <c r="AH41" s="64">
        <f t="shared" si="36"/>
        <v>0</v>
      </c>
      <c r="AI41" s="86">
        <f t="shared" si="36"/>
        <v>0</v>
      </c>
    </row>
    <row r="42" spans="1:35">
      <c r="A42" s="60" t="str">
        <f>V3</f>
        <v>Anno 18</v>
      </c>
      <c r="B42" s="59" t="s">
        <v>61</v>
      </c>
      <c r="C42" s="81"/>
      <c r="D42" s="52">
        <f>D41</f>
        <v>0</v>
      </c>
      <c r="E42" s="78"/>
      <c r="Q42" s="63"/>
      <c r="R42" s="63"/>
      <c r="S42" s="63"/>
      <c r="T42" s="63"/>
      <c r="U42" s="63"/>
      <c r="V42" s="63">
        <f>$D42-V41</f>
        <v>0</v>
      </c>
      <c r="W42" s="63">
        <f t="shared" ref="W42:AI42" si="37">IF(V42-W41&gt;0,V42-W41,0)</f>
        <v>0</v>
      </c>
      <c r="X42" s="63">
        <f t="shared" si="37"/>
        <v>0</v>
      </c>
      <c r="Y42" s="63">
        <f t="shared" si="37"/>
        <v>0</v>
      </c>
      <c r="Z42" s="63">
        <f t="shared" si="37"/>
        <v>0</v>
      </c>
      <c r="AA42" s="63">
        <f t="shared" si="37"/>
        <v>0</v>
      </c>
      <c r="AB42" s="63">
        <f t="shared" si="37"/>
        <v>0</v>
      </c>
      <c r="AC42" s="63">
        <f t="shared" si="37"/>
        <v>0</v>
      </c>
      <c r="AD42" s="63">
        <f t="shared" si="37"/>
        <v>0</v>
      </c>
      <c r="AE42" s="63">
        <f t="shared" si="37"/>
        <v>0</v>
      </c>
      <c r="AF42" s="63">
        <f t="shared" si="37"/>
        <v>0</v>
      </c>
      <c r="AG42" s="63">
        <f t="shared" si="37"/>
        <v>0</v>
      </c>
      <c r="AH42" s="63">
        <f t="shared" si="37"/>
        <v>0</v>
      </c>
      <c r="AI42" s="79">
        <f t="shared" si="37"/>
        <v>0</v>
      </c>
    </row>
    <row r="43" spans="1:35">
      <c r="A43" s="95" t="str">
        <f>W3</f>
        <v>Anno 19</v>
      </c>
      <c r="B43" s="80" t="str">
        <f>$B29</f>
        <v>IT (software, hardware)</v>
      </c>
      <c r="C43" s="81">
        <f>$C$5</f>
        <v>0.2</v>
      </c>
      <c r="D43" s="52"/>
      <c r="E43" s="78"/>
      <c r="Q43" s="64"/>
      <c r="R43" s="64"/>
      <c r="S43" s="64"/>
      <c r="T43" s="64"/>
      <c r="U43" s="64"/>
      <c r="V43" s="87"/>
      <c r="W43" s="64">
        <f>IF($D43*$C43&gt;=$D44,$D44,$D43*$C43)</f>
        <v>0</v>
      </c>
      <c r="X43" s="64">
        <f t="shared" ref="X43:AI43" si="38">IF($D43*$C43&gt;=W44,W44,$D43*$C43)</f>
        <v>0</v>
      </c>
      <c r="Y43" s="64">
        <f t="shared" si="38"/>
        <v>0</v>
      </c>
      <c r="Z43" s="64">
        <f t="shared" si="38"/>
        <v>0</v>
      </c>
      <c r="AA43" s="64">
        <f t="shared" si="38"/>
        <v>0</v>
      </c>
      <c r="AB43" s="64">
        <f t="shared" si="38"/>
        <v>0</v>
      </c>
      <c r="AC43" s="64">
        <f t="shared" si="38"/>
        <v>0</v>
      </c>
      <c r="AD43" s="64">
        <f t="shared" si="38"/>
        <v>0</v>
      </c>
      <c r="AE43" s="64">
        <f t="shared" si="38"/>
        <v>0</v>
      </c>
      <c r="AF43" s="64">
        <f t="shared" si="38"/>
        <v>0</v>
      </c>
      <c r="AG43" s="64">
        <f t="shared" si="38"/>
        <v>0</v>
      </c>
      <c r="AH43" s="64">
        <f t="shared" si="38"/>
        <v>0</v>
      </c>
      <c r="AI43" s="86">
        <f t="shared" si="38"/>
        <v>0</v>
      </c>
    </row>
    <row r="44" spans="1:35">
      <c r="A44" s="60" t="str">
        <f>W3</f>
        <v>Anno 19</v>
      </c>
      <c r="B44" s="59" t="s">
        <v>61</v>
      </c>
      <c r="C44" s="81"/>
      <c r="D44" s="52">
        <f>D43</f>
        <v>0</v>
      </c>
      <c r="E44" s="78"/>
      <c r="Q44" s="63"/>
      <c r="R44" s="63"/>
      <c r="S44" s="63"/>
      <c r="T44" s="63"/>
      <c r="U44" s="63"/>
      <c r="V44" s="66"/>
      <c r="W44" s="63">
        <f>$D44-W43</f>
        <v>0</v>
      </c>
      <c r="X44" s="63">
        <f t="shared" ref="X44:AI44" si="39">IF(W44-X43&gt;0,W44-X43,0)</f>
        <v>0</v>
      </c>
      <c r="Y44" s="63">
        <f t="shared" si="39"/>
        <v>0</v>
      </c>
      <c r="Z44" s="63">
        <f t="shared" si="39"/>
        <v>0</v>
      </c>
      <c r="AA44" s="63">
        <f t="shared" si="39"/>
        <v>0</v>
      </c>
      <c r="AB44" s="63">
        <f t="shared" si="39"/>
        <v>0</v>
      </c>
      <c r="AC44" s="63">
        <f t="shared" si="39"/>
        <v>0</v>
      </c>
      <c r="AD44" s="63">
        <f t="shared" si="39"/>
        <v>0</v>
      </c>
      <c r="AE44" s="63">
        <f t="shared" si="39"/>
        <v>0</v>
      </c>
      <c r="AF44" s="63">
        <f t="shared" si="39"/>
        <v>0</v>
      </c>
      <c r="AG44" s="63">
        <f t="shared" si="39"/>
        <v>0</v>
      </c>
      <c r="AH44" s="63">
        <f t="shared" si="39"/>
        <v>0</v>
      </c>
      <c r="AI44" s="79">
        <f t="shared" si="39"/>
        <v>0</v>
      </c>
    </row>
    <row r="45" spans="1:35">
      <c r="A45" s="95" t="str">
        <f>X3</f>
        <v>Anno 20</v>
      </c>
      <c r="B45" s="80" t="str">
        <f>$B29</f>
        <v>IT (software, hardware)</v>
      </c>
      <c r="C45" s="81">
        <f>$C$5</f>
        <v>0.2</v>
      </c>
      <c r="D45" s="52"/>
      <c r="E45" s="78"/>
      <c r="Q45" s="64"/>
      <c r="R45" s="64"/>
      <c r="S45" s="64"/>
      <c r="T45" s="64"/>
      <c r="U45" s="64"/>
      <c r="V45" s="87"/>
      <c r="W45" s="87"/>
      <c r="X45" s="64">
        <f>IF($D45*$C45&gt;=$D46,$D46,$D45*$C45)</f>
        <v>0</v>
      </c>
      <c r="Y45" s="64">
        <f t="shared" ref="Y45:AI45" si="40">IF($D45*$C45&gt;=X46,X46,$D45*$C45)</f>
        <v>0</v>
      </c>
      <c r="Z45" s="64">
        <f t="shared" si="40"/>
        <v>0</v>
      </c>
      <c r="AA45" s="64">
        <f t="shared" si="40"/>
        <v>0</v>
      </c>
      <c r="AB45" s="64">
        <f t="shared" si="40"/>
        <v>0</v>
      </c>
      <c r="AC45" s="64">
        <f t="shared" si="40"/>
        <v>0</v>
      </c>
      <c r="AD45" s="64">
        <f t="shared" si="40"/>
        <v>0</v>
      </c>
      <c r="AE45" s="64">
        <f t="shared" si="40"/>
        <v>0</v>
      </c>
      <c r="AF45" s="64">
        <f t="shared" si="40"/>
        <v>0</v>
      </c>
      <c r="AG45" s="64">
        <f t="shared" si="40"/>
        <v>0</v>
      </c>
      <c r="AH45" s="64">
        <f t="shared" si="40"/>
        <v>0</v>
      </c>
      <c r="AI45" s="86">
        <f t="shared" si="40"/>
        <v>0</v>
      </c>
    </row>
    <row r="46" spans="1:35">
      <c r="A46" s="60" t="str">
        <f>X3</f>
        <v>Anno 20</v>
      </c>
      <c r="B46" s="59" t="s">
        <v>61</v>
      </c>
      <c r="C46" s="81"/>
      <c r="D46" s="52">
        <f>D45</f>
        <v>0</v>
      </c>
      <c r="E46" s="78"/>
      <c r="Q46" s="63"/>
      <c r="R46" s="63"/>
      <c r="S46" s="63"/>
      <c r="T46" s="63"/>
      <c r="U46" s="63"/>
      <c r="V46" s="66"/>
      <c r="W46" s="66"/>
      <c r="X46" s="63">
        <f>$D46-X45</f>
        <v>0</v>
      </c>
      <c r="Y46" s="63">
        <f t="shared" ref="Y46:AI46" si="41">IF(X46-Y45&gt;0,X46-Y45,0)</f>
        <v>0</v>
      </c>
      <c r="Z46" s="63">
        <f t="shared" si="41"/>
        <v>0</v>
      </c>
      <c r="AA46" s="63">
        <f t="shared" si="41"/>
        <v>0</v>
      </c>
      <c r="AB46" s="63">
        <f t="shared" si="41"/>
        <v>0</v>
      </c>
      <c r="AC46" s="63">
        <f t="shared" si="41"/>
        <v>0</v>
      </c>
      <c r="AD46" s="63">
        <f t="shared" si="41"/>
        <v>0</v>
      </c>
      <c r="AE46" s="63">
        <f t="shared" si="41"/>
        <v>0</v>
      </c>
      <c r="AF46" s="63">
        <f t="shared" si="41"/>
        <v>0</v>
      </c>
      <c r="AG46" s="63">
        <f t="shared" si="41"/>
        <v>0</v>
      </c>
      <c r="AH46" s="63">
        <f t="shared" si="41"/>
        <v>0</v>
      </c>
      <c r="AI46" s="79">
        <f t="shared" si="41"/>
        <v>0</v>
      </c>
    </row>
    <row r="47" spans="1:35">
      <c r="A47" s="95" t="str">
        <f>Y3</f>
        <v>Anno 21</v>
      </c>
      <c r="B47" s="80" t="str">
        <f>$B29</f>
        <v>IT (software, hardware)</v>
      </c>
      <c r="C47" s="81">
        <f>$C$5</f>
        <v>0.2</v>
      </c>
      <c r="D47" s="52"/>
      <c r="E47" s="78"/>
      <c r="Q47" s="64"/>
      <c r="R47" s="64"/>
      <c r="S47" s="64"/>
      <c r="T47" s="64"/>
      <c r="U47" s="64"/>
      <c r="V47" s="87"/>
      <c r="W47" s="87"/>
      <c r="X47" s="87"/>
      <c r="Y47" s="64">
        <f>IF($D47*$C47&gt;=$D48,$D48,$D47*$C47)</f>
        <v>0</v>
      </c>
      <c r="Z47" s="64">
        <f t="shared" ref="Z47:AI47" si="42">IF($D47*$C47&gt;=Y48,Y48,$D47*$C47)</f>
        <v>0</v>
      </c>
      <c r="AA47" s="64">
        <f t="shared" si="42"/>
        <v>0</v>
      </c>
      <c r="AB47" s="64">
        <f t="shared" si="42"/>
        <v>0</v>
      </c>
      <c r="AC47" s="64">
        <f t="shared" si="42"/>
        <v>0</v>
      </c>
      <c r="AD47" s="64">
        <f t="shared" si="42"/>
        <v>0</v>
      </c>
      <c r="AE47" s="64">
        <f t="shared" si="42"/>
        <v>0</v>
      </c>
      <c r="AF47" s="64">
        <f t="shared" si="42"/>
        <v>0</v>
      </c>
      <c r="AG47" s="64">
        <f t="shared" si="42"/>
        <v>0</v>
      </c>
      <c r="AH47" s="64">
        <f t="shared" si="42"/>
        <v>0</v>
      </c>
      <c r="AI47" s="86">
        <f t="shared" si="42"/>
        <v>0</v>
      </c>
    </row>
    <row r="48" spans="1:35">
      <c r="A48" s="60" t="str">
        <f>Y3</f>
        <v>Anno 21</v>
      </c>
      <c r="B48" s="59" t="s">
        <v>61</v>
      </c>
      <c r="C48" s="81"/>
      <c r="D48" s="52">
        <f>D47</f>
        <v>0</v>
      </c>
      <c r="E48" s="78"/>
      <c r="Q48" s="63"/>
      <c r="R48" s="63"/>
      <c r="S48" s="63"/>
      <c r="T48" s="63"/>
      <c r="U48" s="63"/>
      <c r="V48" s="66"/>
      <c r="W48" s="66"/>
      <c r="X48" s="66"/>
      <c r="Y48" s="63">
        <f>$D48-Y47</f>
        <v>0</v>
      </c>
      <c r="Z48" s="63">
        <f t="shared" ref="Z48:AI48" si="43">IF(Y48-Z47&gt;0,Y48-Z47,0)</f>
        <v>0</v>
      </c>
      <c r="AA48" s="63">
        <f t="shared" si="43"/>
        <v>0</v>
      </c>
      <c r="AB48" s="63">
        <f t="shared" si="43"/>
        <v>0</v>
      </c>
      <c r="AC48" s="63">
        <f t="shared" si="43"/>
        <v>0</v>
      </c>
      <c r="AD48" s="63">
        <f t="shared" si="43"/>
        <v>0</v>
      </c>
      <c r="AE48" s="63">
        <f t="shared" si="43"/>
        <v>0</v>
      </c>
      <c r="AF48" s="63">
        <f t="shared" si="43"/>
        <v>0</v>
      </c>
      <c r="AG48" s="63">
        <f t="shared" si="43"/>
        <v>0</v>
      </c>
      <c r="AH48" s="63">
        <f t="shared" si="43"/>
        <v>0</v>
      </c>
      <c r="AI48" s="79">
        <f t="shared" si="43"/>
        <v>0</v>
      </c>
    </row>
    <row r="49" spans="1:35">
      <c r="A49" s="95" t="str">
        <f>Z3</f>
        <v>Anno 22</v>
      </c>
      <c r="B49" s="80" t="str">
        <f>$B29</f>
        <v>IT (software, hardware)</v>
      </c>
      <c r="C49" s="81">
        <f>$C$5</f>
        <v>0.2</v>
      </c>
      <c r="D49" s="52"/>
      <c r="E49" s="78"/>
      <c r="Q49" s="64"/>
      <c r="R49" s="64"/>
      <c r="S49" s="64"/>
      <c r="T49" s="64"/>
      <c r="U49" s="64"/>
      <c r="V49" s="87"/>
      <c r="W49" s="87"/>
      <c r="X49" s="87"/>
      <c r="Y49" s="87"/>
      <c r="Z49" s="64">
        <f>IF($D49*$C49&gt;=$D50,$D50,$D49*$C49)</f>
        <v>0</v>
      </c>
      <c r="AA49" s="64">
        <f t="shared" ref="AA49:AI49" si="44">IF($D49*$C49&gt;=Z50,Z50,$D49*$C49)</f>
        <v>0</v>
      </c>
      <c r="AB49" s="64">
        <f t="shared" si="44"/>
        <v>0</v>
      </c>
      <c r="AC49" s="64">
        <f t="shared" si="44"/>
        <v>0</v>
      </c>
      <c r="AD49" s="64">
        <f t="shared" si="44"/>
        <v>0</v>
      </c>
      <c r="AE49" s="64">
        <f t="shared" si="44"/>
        <v>0</v>
      </c>
      <c r="AF49" s="64">
        <f t="shared" si="44"/>
        <v>0</v>
      </c>
      <c r="AG49" s="64">
        <f t="shared" si="44"/>
        <v>0</v>
      </c>
      <c r="AH49" s="64">
        <f t="shared" si="44"/>
        <v>0</v>
      </c>
      <c r="AI49" s="86">
        <f t="shared" si="44"/>
        <v>0</v>
      </c>
    </row>
    <row r="50" spans="1:35">
      <c r="A50" s="60" t="str">
        <f>Z3</f>
        <v>Anno 22</v>
      </c>
      <c r="B50" s="59" t="s">
        <v>61</v>
      </c>
      <c r="C50" s="81"/>
      <c r="D50" s="52">
        <f>D49</f>
        <v>0</v>
      </c>
      <c r="E50" s="78"/>
      <c r="Q50" s="63"/>
      <c r="R50" s="63"/>
      <c r="S50" s="63"/>
      <c r="T50" s="63"/>
      <c r="U50" s="63"/>
      <c r="V50" s="66"/>
      <c r="W50" s="66"/>
      <c r="X50" s="66"/>
      <c r="Y50" s="66"/>
      <c r="Z50" s="63">
        <f>$D50-Z49</f>
        <v>0</v>
      </c>
      <c r="AA50" s="63">
        <f t="shared" ref="AA50:AI50" si="45">IF(Z50-AA49&gt;0,Z50-AA49,0)</f>
        <v>0</v>
      </c>
      <c r="AB50" s="63">
        <f t="shared" si="45"/>
        <v>0</v>
      </c>
      <c r="AC50" s="63">
        <f t="shared" si="45"/>
        <v>0</v>
      </c>
      <c r="AD50" s="63">
        <f t="shared" si="45"/>
        <v>0</v>
      </c>
      <c r="AE50" s="63">
        <f t="shared" si="45"/>
        <v>0</v>
      </c>
      <c r="AF50" s="63">
        <f t="shared" si="45"/>
        <v>0</v>
      </c>
      <c r="AG50" s="63">
        <f t="shared" si="45"/>
        <v>0</v>
      </c>
      <c r="AH50" s="63">
        <f t="shared" si="45"/>
        <v>0</v>
      </c>
      <c r="AI50" s="79">
        <f t="shared" si="45"/>
        <v>0</v>
      </c>
    </row>
    <row r="51" spans="1:35">
      <c r="A51" s="95" t="str">
        <f>AA3</f>
        <v>Anno 23</v>
      </c>
      <c r="B51" s="80" t="str">
        <f>$B29</f>
        <v>IT (software, hardware)</v>
      </c>
      <c r="C51" s="81">
        <f>$C$5</f>
        <v>0.2</v>
      </c>
      <c r="D51" s="52"/>
      <c r="E51" s="78"/>
      <c r="Q51" s="64"/>
      <c r="R51" s="64"/>
      <c r="S51" s="64"/>
      <c r="T51" s="64"/>
      <c r="U51" s="64"/>
      <c r="V51" s="87"/>
      <c r="W51" s="87"/>
      <c r="X51" s="87"/>
      <c r="Y51" s="87"/>
      <c r="Z51" s="87"/>
      <c r="AA51" s="64">
        <f>IF($D51*$C51&gt;=$D52,$D52,$D51*$C51)</f>
        <v>0</v>
      </c>
      <c r="AB51" s="64">
        <f t="shared" ref="AB51:AI51" si="46">IF($D51*$C51&gt;=AA52,AA52,$D51*$C51)</f>
        <v>0</v>
      </c>
      <c r="AC51" s="64">
        <f t="shared" si="46"/>
        <v>0</v>
      </c>
      <c r="AD51" s="64">
        <f t="shared" si="46"/>
        <v>0</v>
      </c>
      <c r="AE51" s="64">
        <f t="shared" si="46"/>
        <v>0</v>
      </c>
      <c r="AF51" s="64">
        <f t="shared" si="46"/>
        <v>0</v>
      </c>
      <c r="AG51" s="64">
        <f t="shared" si="46"/>
        <v>0</v>
      </c>
      <c r="AH51" s="64">
        <f t="shared" si="46"/>
        <v>0</v>
      </c>
      <c r="AI51" s="86">
        <f t="shared" si="46"/>
        <v>0</v>
      </c>
    </row>
    <row r="52" spans="1:35">
      <c r="A52" s="60" t="str">
        <f>AA3</f>
        <v>Anno 23</v>
      </c>
      <c r="B52" s="59" t="s">
        <v>61</v>
      </c>
      <c r="C52" s="81"/>
      <c r="D52" s="52">
        <f>D51</f>
        <v>0</v>
      </c>
      <c r="E52" s="78"/>
      <c r="Q52" s="63"/>
      <c r="R52" s="63"/>
      <c r="S52" s="63"/>
      <c r="T52" s="63"/>
      <c r="U52" s="63"/>
      <c r="V52" s="66"/>
      <c r="W52" s="66"/>
      <c r="X52" s="66"/>
      <c r="Y52" s="66"/>
      <c r="Z52" s="66"/>
      <c r="AA52" s="63">
        <f>$D52-AA51</f>
        <v>0</v>
      </c>
      <c r="AB52" s="63">
        <f t="shared" ref="AB52:AI52" si="47">IF(AA52-AB51&gt;0,AA52-AB51,0)</f>
        <v>0</v>
      </c>
      <c r="AC52" s="63">
        <f t="shared" si="47"/>
        <v>0</v>
      </c>
      <c r="AD52" s="63">
        <f t="shared" si="47"/>
        <v>0</v>
      </c>
      <c r="AE52" s="63">
        <f t="shared" si="47"/>
        <v>0</v>
      </c>
      <c r="AF52" s="63">
        <f t="shared" si="47"/>
        <v>0</v>
      </c>
      <c r="AG52" s="63">
        <f t="shared" si="47"/>
        <v>0</v>
      </c>
      <c r="AH52" s="63">
        <f t="shared" si="47"/>
        <v>0</v>
      </c>
      <c r="AI52" s="79">
        <f t="shared" si="47"/>
        <v>0</v>
      </c>
    </row>
    <row r="53" spans="1:35">
      <c r="A53" s="95" t="str">
        <f>AB3</f>
        <v>Anno 24</v>
      </c>
      <c r="B53" s="80" t="str">
        <f>$B29</f>
        <v>IT (software, hardware)</v>
      </c>
      <c r="C53" s="81">
        <f>$C$5</f>
        <v>0.2</v>
      </c>
      <c r="D53" s="52"/>
      <c r="E53" s="78"/>
      <c r="Q53" s="64"/>
      <c r="R53" s="64"/>
      <c r="S53" s="64"/>
      <c r="T53" s="64"/>
      <c r="U53" s="64"/>
      <c r="V53" s="87"/>
      <c r="W53" s="87"/>
      <c r="X53" s="87"/>
      <c r="Y53" s="87"/>
      <c r="Z53" s="87"/>
      <c r="AA53" s="87"/>
      <c r="AB53" s="64">
        <f>IF($D53*$C53&gt;=$D54,$D54,$D53*$C53)</f>
        <v>0</v>
      </c>
      <c r="AC53" s="64">
        <f t="shared" ref="AC53:AI53" si="48">IF($D53*$C53&gt;=AB54,AB54,$D53*$C53)</f>
        <v>0</v>
      </c>
      <c r="AD53" s="64">
        <f t="shared" si="48"/>
        <v>0</v>
      </c>
      <c r="AE53" s="64">
        <f t="shared" si="48"/>
        <v>0</v>
      </c>
      <c r="AF53" s="64">
        <f t="shared" si="48"/>
        <v>0</v>
      </c>
      <c r="AG53" s="64">
        <f t="shared" si="48"/>
        <v>0</v>
      </c>
      <c r="AH53" s="64">
        <f t="shared" si="48"/>
        <v>0</v>
      </c>
      <c r="AI53" s="86">
        <f t="shared" si="48"/>
        <v>0</v>
      </c>
    </row>
    <row r="54" spans="1:35">
      <c r="A54" s="60" t="str">
        <f>AB3</f>
        <v>Anno 24</v>
      </c>
      <c r="B54" s="59" t="s">
        <v>61</v>
      </c>
      <c r="C54" s="88"/>
      <c r="D54" s="52">
        <f>D53</f>
        <v>0</v>
      </c>
      <c r="E54" s="78"/>
      <c r="Q54" s="63"/>
      <c r="R54" s="63"/>
      <c r="S54" s="63"/>
      <c r="T54" s="63"/>
      <c r="U54" s="63"/>
      <c r="V54" s="66"/>
      <c r="W54" s="66"/>
      <c r="X54" s="66"/>
      <c r="Y54" s="66"/>
      <c r="Z54" s="66"/>
      <c r="AA54" s="66"/>
      <c r="AB54" s="63">
        <f>$D54-AB53</f>
        <v>0</v>
      </c>
      <c r="AC54" s="63">
        <f t="shared" ref="AC54:AI54" si="49">IF(AB54-AC53&gt;0,AB54-AC53,0)</f>
        <v>0</v>
      </c>
      <c r="AD54" s="63">
        <f t="shared" si="49"/>
        <v>0</v>
      </c>
      <c r="AE54" s="63">
        <f t="shared" si="49"/>
        <v>0</v>
      </c>
      <c r="AF54" s="63">
        <f t="shared" si="49"/>
        <v>0</v>
      </c>
      <c r="AG54" s="63">
        <f t="shared" si="49"/>
        <v>0</v>
      </c>
      <c r="AH54" s="63">
        <f t="shared" si="49"/>
        <v>0</v>
      </c>
      <c r="AI54" s="79">
        <f t="shared" si="49"/>
        <v>0</v>
      </c>
    </row>
    <row r="55" spans="1:35">
      <c r="A55" s="95" t="str">
        <f>AC3</f>
        <v>Anno 25</v>
      </c>
      <c r="B55" s="80" t="str">
        <f>$B53</f>
        <v>IT (software, hardware)</v>
      </c>
      <c r="C55" s="81">
        <f>$C$5</f>
        <v>0.2</v>
      </c>
      <c r="D55" s="52"/>
      <c r="E55" s="78"/>
      <c r="AC55" s="64">
        <f>IF($D55*$C55&gt;=$D56,$D56,$D55*$C55)</f>
        <v>0</v>
      </c>
      <c r="AD55" s="64">
        <f t="shared" ref="AD55:AI55" si="50">IF($D55*$C55&gt;=AC56,AC56,$D55*$C55)</f>
        <v>0</v>
      </c>
      <c r="AE55" s="64">
        <f t="shared" si="50"/>
        <v>0</v>
      </c>
      <c r="AF55" s="64">
        <f t="shared" si="50"/>
        <v>0</v>
      </c>
      <c r="AG55" s="64">
        <f t="shared" si="50"/>
        <v>0</v>
      </c>
      <c r="AH55" s="64">
        <f t="shared" si="50"/>
        <v>0</v>
      </c>
      <c r="AI55" s="86">
        <f t="shared" si="50"/>
        <v>0</v>
      </c>
    </row>
    <row r="56" spans="1:35">
      <c r="A56" s="60" t="str">
        <f>AC3</f>
        <v>Anno 25</v>
      </c>
      <c r="B56" s="59" t="s">
        <v>61</v>
      </c>
      <c r="C56" s="81"/>
      <c r="D56" s="52">
        <f>D55</f>
        <v>0</v>
      </c>
      <c r="E56" s="78"/>
      <c r="AC56" s="63">
        <f>$D56-AC55</f>
        <v>0</v>
      </c>
      <c r="AD56" s="63">
        <f t="shared" ref="AD56:AI56" si="51">IF(AC56-AD55&gt;0,AC56-AD55,0)</f>
        <v>0</v>
      </c>
      <c r="AE56" s="63">
        <f t="shared" si="51"/>
        <v>0</v>
      </c>
      <c r="AF56" s="63">
        <f t="shared" si="51"/>
        <v>0</v>
      </c>
      <c r="AG56" s="63">
        <f t="shared" si="51"/>
        <v>0</v>
      </c>
      <c r="AH56" s="63">
        <f t="shared" si="51"/>
        <v>0</v>
      </c>
      <c r="AI56" s="79">
        <f t="shared" si="51"/>
        <v>0</v>
      </c>
    </row>
    <row r="57" spans="1:35">
      <c r="A57" s="95" t="str">
        <f>AD3</f>
        <v>Anno 26</v>
      </c>
      <c r="B57" s="80" t="str">
        <f>$B53</f>
        <v>IT (software, hardware)</v>
      </c>
      <c r="C57" s="81">
        <f>$C$5</f>
        <v>0.2</v>
      </c>
      <c r="D57" s="52"/>
      <c r="E57" s="78"/>
      <c r="AC57" s="64"/>
      <c r="AD57" s="64">
        <f>IF($D57*$C57&gt;=$D58,$D58,$D57*$C57)</f>
        <v>0</v>
      </c>
      <c r="AE57" s="64">
        <f>IF($D57*$C57&gt;=AD58,AD58,$D57*$C57)</f>
        <v>0</v>
      </c>
      <c r="AF57" s="64">
        <f>IF($D57*$C57&gt;=AE58,AE58,$D57*$C57)</f>
        <v>0</v>
      </c>
      <c r="AG57" s="64">
        <f>IF($D57*$C57&gt;=AF58,AF58,$D57*$C57)</f>
        <v>0</v>
      </c>
      <c r="AH57" s="64">
        <f>IF($D57*$C57&gt;=AG58,AG58,$D57*$C57)</f>
        <v>0</v>
      </c>
      <c r="AI57" s="86">
        <f>IF($D57*$C57&gt;=AH58,AH58,$D57*$C57)</f>
        <v>0</v>
      </c>
    </row>
    <row r="58" spans="1:35">
      <c r="A58" s="60" t="str">
        <f>AD3</f>
        <v>Anno 26</v>
      </c>
      <c r="B58" s="59" t="s">
        <v>61</v>
      </c>
      <c r="C58" s="81"/>
      <c r="D58" s="52">
        <f>D57</f>
        <v>0</v>
      </c>
      <c r="E58" s="78"/>
      <c r="AC58" s="63"/>
      <c r="AD58" s="63">
        <f>$D58-AD57</f>
        <v>0</v>
      </c>
      <c r="AE58" s="63">
        <f>IF(AD58-AE57&gt;0,AD58-AE57,0)</f>
        <v>0</v>
      </c>
      <c r="AF58" s="63">
        <f>IF(AE58-AF57&gt;0,AE58-AF57,0)</f>
        <v>0</v>
      </c>
      <c r="AG58" s="63">
        <f>IF(AF58-AG57&gt;0,AF58-AG57,0)</f>
        <v>0</v>
      </c>
      <c r="AH58" s="63">
        <f>IF(AG58-AH57&gt;0,AG58-AH57,0)</f>
        <v>0</v>
      </c>
      <c r="AI58" s="79">
        <f>IF(AH58-AI57&gt;0,AH58-AI57,0)</f>
        <v>0</v>
      </c>
    </row>
    <row r="59" spans="1:35">
      <c r="A59" s="95" t="str">
        <f>AE3</f>
        <v>Anno 27</v>
      </c>
      <c r="B59" s="80" t="str">
        <f>$B53</f>
        <v>IT (software, hardware)</v>
      </c>
      <c r="C59" s="81">
        <f>$C$5</f>
        <v>0.2</v>
      </c>
      <c r="D59" s="52"/>
      <c r="E59" s="78"/>
      <c r="AC59" s="64"/>
      <c r="AD59" s="64"/>
      <c r="AE59" s="64">
        <f>IF($D59*$C59&gt;=$D60,$D60,$D59*$C59)</f>
        <v>0</v>
      </c>
      <c r="AF59" s="64">
        <f>IF($D59*$C59&gt;=AE60,AE60,$D59*$C59)</f>
        <v>0</v>
      </c>
      <c r="AG59" s="64">
        <f>IF($D59*$C59&gt;=AF60,AF60,$D59*$C59)</f>
        <v>0</v>
      </c>
      <c r="AH59" s="64">
        <f>IF($D59*$C59&gt;=AG60,AG60,$D59*$C59)</f>
        <v>0</v>
      </c>
      <c r="AI59" s="86">
        <f>IF($D59*$C59&gt;=AH60,AH60,$D59*$C59)</f>
        <v>0</v>
      </c>
    </row>
    <row r="60" spans="1:35">
      <c r="A60" s="60" t="str">
        <f>AE3</f>
        <v>Anno 27</v>
      </c>
      <c r="B60" s="59" t="s">
        <v>61</v>
      </c>
      <c r="C60" s="81"/>
      <c r="D60" s="52">
        <f>D59</f>
        <v>0</v>
      </c>
      <c r="E60" s="78"/>
      <c r="AC60" s="63"/>
      <c r="AD60" s="63"/>
      <c r="AE60" s="63">
        <f>$D60-AE59</f>
        <v>0</v>
      </c>
      <c r="AF60" s="63">
        <f>IF(AE60-AF59&gt;0,AE60-AF59,0)</f>
        <v>0</v>
      </c>
      <c r="AG60" s="63">
        <f>IF(AF60-AG59&gt;0,AF60-AG59,0)</f>
        <v>0</v>
      </c>
      <c r="AH60" s="63">
        <f>IF(AG60-AH59&gt;0,AG60-AH59,0)</f>
        <v>0</v>
      </c>
      <c r="AI60" s="79">
        <f>IF(AH60-AI59&gt;0,AH60-AI59,0)</f>
        <v>0</v>
      </c>
    </row>
    <row r="61" spans="1:35">
      <c r="A61" s="95" t="str">
        <f>AF3</f>
        <v>Anno 28</v>
      </c>
      <c r="B61" s="80" t="str">
        <f>$B53</f>
        <v>IT (software, hardware)</v>
      </c>
      <c r="C61" s="81">
        <f>$C$5</f>
        <v>0.2</v>
      </c>
      <c r="D61" s="52"/>
      <c r="E61" s="78"/>
      <c r="AC61" s="64"/>
      <c r="AD61" s="64"/>
      <c r="AE61" s="64"/>
      <c r="AF61" s="64">
        <f>IF($D61*$C61&gt;=$D62,$D62,$D61*$C61)</f>
        <v>0</v>
      </c>
      <c r="AG61" s="64">
        <f>IF($D61*$C61&gt;=AF62,AF62,$D61*$C61)</f>
        <v>0</v>
      </c>
      <c r="AH61" s="64">
        <f>IF($D61*$C61&gt;=AG62,AG62,$D61*$C61)</f>
        <v>0</v>
      </c>
      <c r="AI61" s="86">
        <f>IF($D61*$C61&gt;=AH62,AH62,$D61*$C61)</f>
        <v>0</v>
      </c>
    </row>
    <row r="62" spans="1:35">
      <c r="A62" s="60" t="str">
        <f>AF3</f>
        <v>Anno 28</v>
      </c>
      <c r="B62" s="59" t="s">
        <v>61</v>
      </c>
      <c r="C62" s="81"/>
      <c r="D62" s="52">
        <f>D61</f>
        <v>0</v>
      </c>
      <c r="E62" s="78"/>
      <c r="AC62" s="63"/>
      <c r="AD62" s="63"/>
      <c r="AE62" s="63"/>
      <c r="AF62" s="63">
        <f>$D62-AF61</f>
        <v>0</v>
      </c>
      <c r="AG62" s="63">
        <f>IF(AF62-AG61&gt;0,AF62-AG61,0)</f>
        <v>0</v>
      </c>
      <c r="AH62" s="63">
        <f>IF(AG62-AH61&gt;0,AG62-AH61,0)</f>
        <v>0</v>
      </c>
      <c r="AI62" s="79">
        <f>IF(AH62-AI61&gt;0,AH62-AI61,0)</f>
        <v>0</v>
      </c>
    </row>
    <row r="63" spans="1:35">
      <c r="A63" s="95" t="str">
        <f>AG3</f>
        <v>Anno 29</v>
      </c>
      <c r="B63" s="80" t="str">
        <f>$B53</f>
        <v>IT (software, hardware)</v>
      </c>
      <c r="C63" s="81">
        <f>$C$5</f>
        <v>0.2</v>
      </c>
      <c r="D63" s="52"/>
      <c r="E63" s="78"/>
      <c r="AC63" s="64"/>
      <c r="AD63" s="64"/>
      <c r="AE63" s="64"/>
      <c r="AF63" s="64"/>
      <c r="AG63" s="64">
        <f>IF($D63*$C63&gt;=$D64,$D64,$D63*$C63)</f>
        <v>0</v>
      </c>
      <c r="AH63" s="64">
        <f>IF($D63*$C63&gt;=AG64,AG64,$D63*$C63)</f>
        <v>0</v>
      </c>
      <c r="AI63" s="86">
        <f>IF($D63*$C63&gt;=AH64,AH64,$D63*$C63)</f>
        <v>0</v>
      </c>
    </row>
    <row r="64" spans="1:35">
      <c r="A64" s="60" t="str">
        <f>AG3</f>
        <v>Anno 29</v>
      </c>
      <c r="B64" s="59" t="s">
        <v>61</v>
      </c>
      <c r="C64" s="81"/>
      <c r="D64" s="52">
        <f>D63</f>
        <v>0</v>
      </c>
      <c r="E64" s="78"/>
      <c r="AC64" s="63"/>
      <c r="AD64" s="63"/>
      <c r="AE64" s="63"/>
      <c r="AF64" s="63"/>
      <c r="AG64" s="63">
        <f>$D64-AG63</f>
        <v>0</v>
      </c>
      <c r="AH64" s="63">
        <f>IF(AG64-AH63&gt;0,AG64-AH63,0)</f>
        <v>0</v>
      </c>
      <c r="AI64" s="79">
        <f>IF(AH64-AI63&gt;0,AH64-AI63,0)</f>
        <v>0</v>
      </c>
    </row>
    <row r="65" spans="1:160">
      <c r="A65" s="95" t="str">
        <f>AH3</f>
        <v>Anno 30</v>
      </c>
      <c r="B65" s="80" t="str">
        <f>$B53</f>
        <v>IT (software, hardware)</v>
      </c>
      <c r="C65" s="81">
        <f>$C$5</f>
        <v>0.2</v>
      </c>
      <c r="D65" s="52"/>
      <c r="E65" s="78"/>
      <c r="AC65" s="64"/>
      <c r="AD65" s="64"/>
      <c r="AE65" s="64"/>
      <c r="AF65" s="64"/>
      <c r="AG65" s="64"/>
      <c r="AH65" s="64">
        <f>IF($D65*$C65&gt;=$D66,$D66,$D65*$C65)</f>
        <v>0</v>
      </c>
      <c r="AI65" s="86">
        <f>IF($D65*$C65&gt;=AH66,AH66,$D65*$C65)</f>
        <v>0</v>
      </c>
    </row>
    <row r="66" spans="1:160">
      <c r="A66" s="60" t="str">
        <f>AH3</f>
        <v>Anno 30</v>
      </c>
      <c r="B66" s="59" t="s">
        <v>61</v>
      </c>
      <c r="C66" s="81"/>
      <c r="D66" s="52">
        <f>D65</f>
        <v>0</v>
      </c>
      <c r="E66" s="78"/>
      <c r="AC66" s="63"/>
      <c r="AD66" s="63"/>
      <c r="AE66" s="63"/>
      <c r="AF66" s="63"/>
      <c r="AG66" s="63"/>
      <c r="AH66" s="63">
        <f>$D66-AH65</f>
        <v>0</v>
      </c>
      <c r="AI66" s="79">
        <f>IF(AH66-AI65&gt;0,AH66-AI65,0)</f>
        <v>0</v>
      </c>
    </row>
    <row r="67" spans="1:160">
      <c r="A67" s="95" t="str">
        <f>AI3</f>
        <v>Anno 31</v>
      </c>
      <c r="B67" s="80" t="str">
        <f>$B53</f>
        <v>IT (software, hardware)</v>
      </c>
      <c r="C67" s="81">
        <f>$C$5</f>
        <v>0.2</v>
      </c>
      <c r="D67" s="52"/>
      <c r="E67" s="78"/>
      <c r="AC67" s="64"/>
      <c r="AD67" s="64"/>
      <c r="AE67" s="64"/>
      <c r="AF67" s="64"/>
      <c r="AG67" s="64"/>
      <c r="AH67" s="87"/>
      <c r="AI67" s="86">
        <f>IF($D67*$C67&gt;=$D68,$D68,$D67*$C67)</f>
        <v>0</v>
      </c>
    </row>
    <row r="68" spans="1:160">
      <c r="A68" s="60" t="str">
        <f>AI3</f>
        <v>Anno 31</v>
      </c>
      <c r="B68" s="59" t="s">
        <v>61</v>
      </c>
      <c r="C68" s="81"/>
      <c r="D68" s="52">
        <f>D67</f>
        <v>0</v>
      </c>
      <c r="E68" s="89"/>
      <c r="F68" s="90"/>
      <c r="G68" s="90"/>
      <c r="H68" s="90"/>
      <c r="I68" s="90"/>
      <c r="J68" s="91"/>
      <c r="K68" s="91"/>
      <c r="L68" s="91"/>
      <c r="M68" s="91"/>
      <c r="N68" s="91"/>
      <c r="O68" s="91"/>
      <c r="P68" s="91"/>
      <c r="Q68" s="92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0"/>
      <c r="AD68" s="90"/>
      <c r="AE68" s="90"/>
      <c r="AF68" s="90"/>
      <c r="AG68" s="90"/>
      <c r="AH68" s="91"/>
      <c r="AI68" s="94">
        <f>$D68-AI67</f>
        <v>0</v>
      </c>
    </row>
    <row r="69" spans="1:160" s="80" customFormat="1">
      <c r="A69" s="95"/>
      <c r="B69" s="96" t="s">
        <v>66</v>
      </c>
      <c r="C69" s="97"/>
      <c r="D69" s="54"/>
      <c r="E69" s="98">
        <f t="shared" ref="E69:AI69" si="52">E5+E7+E9+E11+E13+E15+E17+E19+E21+E23+E25+E27+E29+E31+E33+E35+E37+E39+E41+E43+E45+E47+E49+E51+E53+E55+E57+E59+E61+E63+E65+E67</f>
        <v>10000</v>
      </c>
      <c r="F69" s="98">
        <f t="shared" si="52"/>
        <v>10000</v>
      </c>
      <c r="G69" s="98">
        <f t="shared" si="52"/>
        <v>10000</v>
      </c>
      <c r="H69" s="98">
        <f t="shared" si="52"/>
        <v>10000</v>
      </c>
      <c r="I69" s="98">
        <f t="shared" si="52"/>
        <v>10000</v>
      </c>
      <c r="J69" s="98">
        <f t="shared" si="52"/>
        <v>0</v>
      </c>
      <c r="K69" s="98">
        <f t="shared" si="52"/>
        <v>0</v>
      </c>
      <c r="L69" s="98">
        <f t="shared" si="52"/>
        <v>0</v>
      </c>
      <c r="M69" s="98">
        <f t="shared" si="52"/>
        <v>0</v>
      </c>
      <c r="N69" s="98">
        <f t="shared" si="52"/>
        <v>0</v>
      </c>
      <c r="O69" s="98">
        <f t="shared" si="52"/>
        <v>0</v>
      </c>
      <c r="P69" s="98">
        <f t="shared" si="52"/>
        <v>0</v>
      </c>
      <c r="Q69" s="98">
        <f t="shared" si="52"/>
        <v>0</v>
      </c>
      <c r="R69" s="98">
        <f t="shared" si="52"/>
        <v>0</v>
      </c>
      <c r="S69" s="98">
        <f t="shared" si="52"/>
        <v>0</v>
      </c>
      <c r="T69" s="98">
        <f t="shared" si="52"/>
        <v>0</v>
      </c>
      <c r="U69" s="98">
        <f t="shared" si="52"/>
        <v>0</v>
      </c>
      <c r="V69" s="98">
        <f t="shared" si="52"/>
        <v>0</v>
      </c>
      <c r="W69" s="98">
        <f t="shared" si="52"/>
        <v>0</v>
      </c>
      <c r="X69" s="98">
        <f t="shared" si="52"/>
        <v>0</v>
      </c>
      <c r="Y69" s="98">
        <f t="shared" si="52"/>
        <v>0</v>
      </c>
      <c r="Z69" s="98">
        <f t="shared" si="52"/>
        <v>0</v>
      </c>
      <c r="AA69" s="98">
        <f t="shared" si="52"/>
        <v>0</v>
      </c>
      <c r="AB69" s="98">
        <f t="shared" si="52"/>
        <v>0</v>
      </c>
      <c r="AC69" s="98">
        <f t="shared" si="52"/>
        <v>0</v>
      </c>
      <c r="AD69" s="98">
        <f t="shared" si="52"/>
        <v>0</v>
      </c>
      <c r="AE69" s="98">
        <f t="shared" si="52"/>
        <v>0</v>
      </c>
      <c r="AF69" s="98">
        <f t="shared" si="52"/>
        <v>0</v>
      </c>
      <c r="AG69" s="98">
        <f t="shared" si="52"/>
        <v>0</v>
      </c>
      <c r="AH69" s="98">
        <f t="shared" si="52"/>
        <v>0</v>
      </c>
      <c r="AI69" s="99">
        <f t="shared" si="52"/>
        <v>0</v>
      </c>
      <c r="AJ69" s="64">
        <f>SUM(E69:AI69)</f>
        <v>50000</v>
      </c>
    </row>
    <row r="70" spans="1:160">
      <c r="B70" s="100" t="s">
        <v>67</v>
      </c>
      <c r="C70" s="101"/>
      <c r="D70" s="55"/>
      <c r="E70" s="89">
        <f t="shared" ref="E70:AI70" si="53">E6+E8+E10+E12+E14+E16+E18+E20+E22+E24+E26+E28+E30+E32+E34+E36+E38+E40+E42+E44+E46+E48+E50+E52+E54+E56+E58+E60+E62+E64+E66+E68</f>
        <v>40000</v>
      </c>
      <c r="F70" s="89">
        <f t="shared" si="53"/>
        <v>30000</v>
      </c>
      <c r="G70" s="89">
        <f t="shared" si="53"/>
        <v>20000</v>
      </c>
      <c r="H70" s="89">
        <f t="shared" si="53"/>
        <v>10000</v>
      </c>
      <c r="I70" s="89">
        <f t="shared" si="53"/>
        <v>0</v>
      </c>
      <c r="J70" s="89">
        <f t="shared" si="53"/>
        <v>0</v>
      </c>
      <c r="K70" s="89">
        <f t="shared" si="53"/>
        <v>0</v>
      </c>
      <c r="L70" s="89">
        <f t="shared" si="53"/>
        <v>0</v>
      </c>
      <c r="M70" s="89">
        <f t="shared" si="53"/>
        <v>0</v>
      </c>
      <c r="N70" s="89">
        <f t="shared" si="53"/>
        <v>0</v>
      </c>
      <c r="O70" s="89">
        <f t="shared" si="53"/>
        <v>0</v>
      </c>
      <c r="P70" s="89">
        <f t="shared" si="53"/>
        <v>0</v>
      </c>
      <c r="Q70" s="89">
        <f t="shared" si="53"/>
        <v>0</v>
      </c>
      <c r="R70" s="89">
        <f t="shared" si="53"/>
        <v>0</v>
      </c>
      <c r="S70" s="89">
        <f t="shared" si="53"/>
        <v>0</v>
      </c>
      <c r="T70" s="89">
        <f t="shared" si="53"/>
        <v>0</v>
      </c>
      <c r="U70" s="89">
        <f t="shared" si="53"/>
        <v>0</v>
      </c>
      <c r="V70" s="89">
        <f t="shared" si="53"/>
        <v>0</v>
      </c>
      <c r="W70" s="89">
        <f t="shared" si="53"/>
        <v>0</v>
      </c>
      <c r="X70" s="89">
        <f t="shared" si="53"/>
        <v>0</v>
      </c>
      <c r="Y70" s="89">
        <f t="shared" si="53"/>
        <v>0</v>
      </c>
      <c r="Z70" s="89">
        <f t="shared" si="53"/>
        <v>0</v>
      </c>
      <c r="AA70" s="89">
        <f t="shared" si="53"/>
        <v>0</v>
      </c>
      <c r="AB70" s="89">
        <f t="shared" si="53"/>
        <v>0</v>
      </c>
      <c r="AC70" s="89">
        <f t="shared" si="53"/>
        <v>0</v>
      </c>
      <c r="AD70" s="89">
        <f t="shared" si="53"/>
        <v>0</v>
      </c>
      <c r="AE70" s="89">
        <f t="shared" si="53"/>
        <v>0</v>
      </c>
      <c r="AF70" s="89">
        <f t="shared" si="53"/>
        <v>0</v>
      </c>
      <c r="AG70" s="89">
        <f t="shared" si="53"/>
        <v>0</v>
      </c>
      <c r="AH70" s="89">
        <f t="shared" si="53"/>
        <v>0</v>
      </c>
      <c r="AI70" s="102">
        <f t="shared" si="53"/>
        <v>0</v>
      </c>
    </row>
    <row r="71" spans="1:160" s="80" customFormat="1">
      <c r="A71" s="95"/>
      <c r="B71" s="96" t="s">
        <v>70</v>
      </c>
      <c r="C71" s="97"/>
      <c r="D71" s="56"/>
      <c r="E71" s="103">
        <f>D7</f>
        <v>50000</v>
      </c>
      <c r="F71" s="103">
        <f>D9</f>
        <v>0</v>
      </c>
      <c r="G71" s="103">
        <f>D11</f>
        <v>0</v>
      </c>
      <c r="H71" s="103">
        <f>D13</f>
        <v>0</v>
      </c>
      <c r="I71" s="103">
        <f>D15</f>
        <v>0</v>
      </c>
      <c r="J71" s="104">
        <f>$D17</f>
        <v>0</v>
      </c>
      <c r="K71" s="104">
        <f>$D19</f>
        <v>0</v>
      </c>
      <c r="L71" s="104">
        <f>$D21</f>
        <v>0</v>
      </c>
      <c r="M71" s="104">
        <f>$D23</f>
        <v>0</v>
      </c>
      <c r="N71" s="104">
        <f>$D25</f>
        <v>0</v>
      </c>
      <c r="O71" s="104">
        <f>$D27</f>
        <v>0</v>
      </c>
      <c r="P71" s="104">
        <f>$D29</f>
        <v>0</v>
      </c>
      <c r="Q71" s="104">
        <f>$D31</f>
        <v>0</v>
      </c>
      <c r="R71" s="104">
        <f>$D33</f>
        <v>0</v>
      </c>
      <c r="S71" s="104">
        <f>$D35</f>
        <v>0</v>
      </c>
      <c r="T71" s="104">
        <f>$D37</f>
        <v>0</v>
      </c>
      <c r="U71" s="104">
        <f>$D39</f>
        <v>0</v>
      </c>
      <c r="V71" s="104">
        <f>$D41</f>
        <v>0</v>
      </c>
      <c r="W71" s="104">
        <f>$D43</f>
        <v>0</v>
      </c>
      <c r="X71" s="104">
        <f>$D45</f>
        <v>0</v>
      </c>
      <c r="Y71" s="104">
        <f>$D47</f>
        <v>0</v>
      </c>
      <c r="Z71" s="104">
        <f>$D49</f>
        <v>0</v>
      </c>
      <c r="AA71" s="104">
        <f>$D51</f>
        <v>0</v>
      </c>
      <c r="AB71" s="104">
        <f>$D53</f>
        <v>0</v>
      </c>
      <c r="AC71" s="104">
        <f>$D55</f>
        <v>0</v>
      </c>
      <c r="AD71" s="104">
        <f>$D57</f>
        <v>0</v>
      </c>
      <c r="AE71" s="104">
        <f>$D59</f>
        <v>0</v>
      </c>
      <c r="AF71" s="104">
        <f>$D61</f>
        <v>0</v>
      </c>
      <c r="AG71" s="104">
        <f>$D63</f>
        <v>0</v>
      </c>
      <c r="AH71" s="104">
        <f>$D65</f>
        <v>0</v>
      </c>
      <c r="AI71" s="104">
        <f>$D67</f>
        <v>0</v>
      </c>
      <c r="AJ71" s="64">
        <f>SUM(E71:AI71)</f>
        <v>50000</v>
      </c>
    </row>
    <row r="72" spans="1:160">
      <c r="B72" s="105" t="s">
        <v>71</v>
      </c>
      <c r="C72" s="106"/>
      <c r="D72" s="57"/>
      <c r="E72" s="107">
        <f>E71</f>
        <v>50000</v>
      </c>
      <c r="F72" s="107">
        <f t="shared" ref="F72:AI72" si="54">E72+F71</f>
        <v>50000</v>
      </c>
      <c r="G72" s="107">
        <f t="shared" si="54"/>
        <v>50000</v>
      </c>
      <c r="H72" s="107">
        <f t="shared" si="54"/>
        <v>50000</v>
      </c>
      <c r="I72" s="107">
        <f t="shared" si="54"/>
        <v>50000</v>
      </c>
      <c r="J72" s="107">
        <f t="shared" si="54"/>
        <v>50000</v>
      </c>
      <c r="K72" s="107">
        <f t="shared" si="54"/>
        <v>50000</v>
      </c>
      <c r="L72" s="107">
        <f t="shared" si="54"/>
        <v>50000</v>
      </c>
      <c r="M72" s="107">
        <f t="shared" si="54"/>
        <v>50000</v>
      </c>
      <c r="N72" s="107">
        <f t="shared" si="54"/>
        <v>50000</v>
      </c>
      <c r="O72" s="107">
        <f t="shared" si="54"/>
        <v>50000</v>
      </c>
      <c r="P72" s="107">
        <f t="shared" si="54"/>
        <v>50000</v>
      </c>
      <c r="Q72" s="107">
        <f t="shared" si="54"/>
        <v>50000</v>
      </c>
      <c r="R72" s="107">
        <f t="shared" si="54"/>
        <v>50000</v>
      </c>
      <c r="S72" s="107">
        <f t="shared" si="54"/>
        <v>50000</v>
      </c>
      <c r="T72" s="107">
        <f t="shared" si="54"/>
        <v>50000</v>
      </c>
      <c r="U72" s="107">
        <f t="shared" si="54"/>
        <v>50000</v>
      </c>
      <c r="V72" s="107">
        <f t="shared" si="54"/>
        <v>50000</v>
      </c>
      <c r="W72" s="107">
        <f t="shared" si="54"/>
        <v>50000</v>
      </c>
      <c r="X72" s="107">
        <f t="shared" si="54"/>
        <v>50000</v>
      </c>
      <c r="Y72" s="107">
        <f t="shared" si="54"/>
        <v>50000</v>
      </c>
      <c r="Z72" s="107">
        <f t="shared" si="54"/>
        <v>50000</v>
      </c>
      <c r="AA72" s="107">
        <f t="shared" si="54"/>
        <v>50000</v>
      </c>
      <c r="AB72" s="107">
        <f t="shared" si="54"/>
        <v>50000</v>
      </c>
      <c r="AC72" s="107">
        <f t="shared" si="54"/>
        <v>50000</v>
      </c>
      <c r="AD72" s="107">
        <f t="shared" si="54"/>
        <v>50000</v>
      </c>
      <c r="AE72" s="107">
        <f t="shared" si="54"/>
        <v>50000</v>
      </c>
      <c r="AF72" s="107">
        <f t="shared" si="54"/>
        <v>50000</v>
      </c>
      <c r="AG72" s="107">
        <f t="shared" si="54"/>
        <v>50000</v>
      </c>
      <c r="AH72" s="107">
        <f t="shared" si="54"/>
        <v>50000</v>
      </c>
      <c r="AI72" s="107">
        <f t="shared" si="54"/>
        <v>50000</v>
      </c>
    </row>
    <row r="73" spans="1:160">
      <c r="B73" s="80"/>
      <c r="C73" s="108"/>
      <c r="D73" s="58"/>
    </row>
    <row r="74" spans="1:160" ht="10.5" customHeight="1"/>
    <row r="75" spans="1:160" ht="30">
      <c r="A75" s="68"/>
      <c r="B75" s="69" t="s">
        <v>63</v>
      </c>
      <c r="C75" s="49" t="s">
        <v>64</v>
      </c>
      <c r="D75" s="50" t="s">
        <v>65</v>
      </c>
      <c r="E75" s="275" t="s">
        <v>144</v>
      </c>
      <c r="F75" s="275" t="s">
        <v>145</v>
      </c>
      <c r="G75" s="275" t="s">
        <v>146</v>
      </c>
      <c r="H75" s="275" t="s">
        <v>147</v>
      </c>
      <c r="I75" s="275" t="s">
        <v>148</v>
      </c>
      <c r="J75" s="275" t="s">
        <v>149</v>
      </c>
      <c r="K75" s="275" t="s">
        <v>150</v>
      </c>
      <c r="L75" s="275" t="s">
        <v>151</v>
      </c>
      <c r="M75" s="275" t="s">
        <v>152</v>
      </c>
      <c r="N75" s="275" t="s">
        <v>153</v>
      </c>
      <c r="O75" s="275" t="s">
        <v>154</v>
      </c>
      <c r="P75" s="275" t="s">
        <v>155</v>
      </c>
      <c r="Q75" s="275" t="s">
        <v>156</v>
      </c>
      <c r="R75" s="275" t="s">
        <v>157</v>
      </c>
      <c r="S75" s="275" t="s">
        <v>158</v>
      </c>
      <c r="T75" s="275" t="s">
        <v>159</v>
      </c>
      <c r="U75" s="275" t="s">
        <v>160</v>
      </c>
      <c r="V75" s="275" t="s">
        <v>161</v>
      </c>
      <c r="W75" s="275" t="s">
        <v>162</v>
      </c>
      <c r="X75" s="275" t="s">
        <v>163</v>
      </c>
      <c r="Y75" s="275" t="s">
        <v>164</v>
      </c>
      <c r="Z75" s="275" t="s">
        <v>165</v>
      </c>
      <c r="AA75" s="275" t="s">
        <v>166</v>
      </c>
      <c r="AB75" s="275" t="s">
        <v>167</v>
      </c>
      <c r="AC75" s="275" t="s">
        <v>168</v>
      </c>
      <c r="AD75" s="275" t="s">
        <v>169</v>
      </c>
      <c r="AE75" s="275" t="s">
        <v>170</v>
      </c>
      <c r="AF75" s="275" t="s">
        <v>171</v>
      </c>
      <c r="AG75" s="275" t="s">
        <v>172</v>
      </c>
      <c r="AH75" s="275" t="s">
        <v>173</v>
      </c>
      <c r="AI75" s="275" t="s">
        <v>174</v>
      </c>
    </row>
    <row r="76" spans="1:160" ht="4.5" customHeight="1">
      <c r="AI76" s="70"/>
    </row>
    <row r="77" spans="1:160">
      <c r="B77" s="71" t="str">
        <f>+Ipotesi!$A$37</f>
        <v>Costi di Start Up</v>
      </c>
      <c r="C77" s="72">
        <f>+Ipotesi!$C$48</f>
        <v>0.2</v>
      </c>
      <c r="D77" s="73">
        <f>D78/2*5</f>
        <v>0</v>
      </c>
      <c r="E77" s="74">
        <f t="shared" ref="E77:AI77" si="55">IF($D77*$C77&gt;=D78,D78,$D77*$C77)</f>
        <v>0</v>
      </c>
      <c r="F77" s="75">
        <f t="shared" si="55"/>
        <v>0</v>
      </c>
      <c r="G77" s="75">
        <f t="shared" si="55"/>
        <v>0</v>
      </c>
      <c r="H77" s="75">
        <f t="shared" si="55"/>
        <v>0</v>
      </c>
      <c r="I77" s="75">
        <f t="shared" si="55"/>
        <v>0</v>
      </c>
      <c r="J77" s="75">
        <f t="shared" si="55"/>
        <v>0</v>
      </c>
      <c r="K77" s="75">
        <f t="shared" si="55"/>
        <v>0</v>
      </c>
      <c r="L77" s="75">
        <f t="shared" si="55"/>
        <v>0</v>
      </c>
      <c r="M77" s="75">
        <f t="shared" si="55"/>
        <v>0</v>
      </c>
      <c r="N77" s="75">
        <f t="shared" si="55"/>
        <v>0</v>
      </c>
      <c r="O77" s="75">
        <f t="shared" si="55"/>
        <v>0</v>
      </c>
      <c r="P77" s="75">
        <f t="shared" si="55"/>
        <v>0</v>
      </c>
      <c r="Q77" s="75">
        <f t="shared" si="55"/>
        <v>0</v>
      </c>
      <c r="R77" s="75">
        <f t="shared" si="55"/>
        <v>0</v>
      </c>
      <c r="S77" s="75">
        <f t="shared" si="55"/>
        <v>0</v>
      </c>
      <c r="T77" s="75">
        <f t="shared" si="55"/>
        <v>0</v>
      </c>
      <c r="U77" s="75">
        <f t="shared" si="55"/>
        <v>0</v>
      </c>
      <c r="V77" s="75">
        <f t="shared" si="55"/>
        <v>0</v>
      </c>
      <c r="W77" s="75">
        <f t="shared" si="55"/>
        <v>0</v>
      </c>
      <c r="X77" s="75">
        <f t="shared" si="55"/>
        <v>0</v>
      </c>
      <c r="Y77" s="75">
        <f t="shared" si="55"/>
        <v>0</v>
      </c>
      <c r="Z77" s="75">
        <f t="shared" si="55"/>
        <v>0</v>
      </c>
      <c r="AA77" s="75">
        <f t="shared" si="55"/>
        <v>0</v>
      </c>
      <c r="AB77" s="75">
        <f t="shared" si="55"/>
        <v>0</v>
      </c>
      <c r="AC77" s="75">
        <f t="shared" si="55"/>
        <v>0</v>
      </c>
      <c r="AD77" s="75">
        <f t="shared" si="55"/>
        <v>0</v>
      </c>
      <c r="AE77" s="75">
        <f t="shared" si="55"/>
        <v>0</v>
      </c>
      <c r="AF77" s="75">
        <f t="shared" si="55"/>
        <v>0</v>
      </c>
      <c r="AG77" s="75">
        <f t="shared" si="55"/>
        <v>0</v>
      </c>
      <c r="AH77" s="75">
        <f t="shared" si="55"/>
        <v>0</v>
      </c>
      <c r="AI77" s="76">
        <f t="shared" si="55"/>
        <v>0</v>
      </c>
    </row>
    <row r="78" spans="1:160">
      <c r="B78" s="71" t="s">
        <v>61</v>
      </c>
      <c r="C78" s="72"/>
      <c r="D78" s="77"/>
      <c r="E78" s="78">
        <f>D78-E77</f>
        <v>0</v>
      </c>
      <c r="F78" s="63">
        <f t="shared" ref="F78:AI78" si="56">IF(E78-F77&gt;0,E78-F77,0)</f>
        <v>0</v>
      </c>
      <c r="G78" s="63">
        <f t="shared" si="56"/>
        <v>0</v>
      </c>
      <c r="H78" s="63">
        <f t="shared" si="56"/>
        <v>0</v>
      </c>
      <c r="I78" s="63">
        <f t="shared" si="56"/>
        <v>0</v>
      </c>
      <c r="J78" s="63">
        <f t="shared" si="56"/>
        <v>0</v>
      </c>
      <c r="K78" s="63">
        <f t="shared" si="56"/>
        <v>0</v>
      </c>
      <c r="L78" s="63">
        <f t="shared" si="56"/>
        <v>0</v>
      </c>
      <c r="M78" s="63">
        <f t="shared" si="56"/>
        <v>0</v>
      </c>
      <c r="N78" s="63">
        <f t="shared" si="56"/>
        <v>0</v>
      </c>
      <c r="O78" s="63">
        <f t="shared" si="56"/>
        <v>0</v>
      </c>
      <c r="P78" s="63">
        <f t="shared" si="56"/>
        <v>0</v>
      </c>
      <c r="Q78" s="63">
        <f t="shared" si="56"/>
        <v>0</v>
      </c>
      <c r="R78" s="63">
        <f t="shared" si="56"/>
        <v>0</v>
      </c>
      <c r="S78" s="63">
        <f t="shared" si="56"/>
        <v>0</v>
      </c>
      <c r="T78" s="63">
        <f t="shared" si="56"/>
        <v>0</v>
      </c>
      <c r="U78" s="63">
        <f t="shared" si="56"/>
        <v>0</v>
      </c>
      <c r="V78" s="63">
        <f t="shared" si="56"/>
        <v>0</v>
      </c>
      <c r="W78" s="63">
        <f t="shared" si="56"/>
        <v>0</v>
      </c>
      <c r="X78" s="63">
        <f t="shared" si="56"/>
        <v>0</v>
      </c>
      <c r="Y78" s="63">
        <f t="shared" si="56"/>
        <v>0</v>
      </c>
      <c r="Z78" s="63">
        <f t="shared" si="56"/>
        <v>0</v>
      </c>
      <c r="AA78" s="63">
        <f t="shared" si="56"/>
        <v>0</v>
      </c>
      <c r="AB78" s="63">
        <f t="shared" si="56"/>
        <v>0</v>
      </c>
      <c r="AC78" s="63">
        <f t="shared" si="56"/>
        <v>0</v>
      </c>
      <c r="AD78" s="63">
        <f t="shared" si="56"/>
        <v>0</v>
      </c>
      <c r="AE78" s="63">
        <f t="shared" si="56"/>
        <v>0</v>
      </c>
      <c r="AF78" s="63">
        <f t="shared" si="56"/>
        <v>0</v>
      </c>
      <c r="AG78" s="63">
        <f t="shared" si="56"/>
        <v>0</v>
      </c>
      <c r="AH78" s="63">
        <f t="shared" si="56"/>
        <v>0</v>
      </c>
      <c r="AI78" s="79">
        <f t="shared" si="56"/>
        <v>0</v>
      </c>
    </row>
    <row r="79" spans="1:160" s="80" customFormat="1">
      <c r="A79" s="95" t="str">
        <f>E75</f>
        <v>Anno 1</v>
      </c>
      <c r="B79" s="80" t="str">
        <f>$B77</f>
        <v>Costi di Start Up</v>
      </c>
      <c r="C79" s="81">
        <f>$C$5</f>
        <v>0.2</v>
      </c>
      <c r="D79" s="52">
        <f>Ipotesi!C37</f>
        <v>40000</v>
      </c>
      <c r="E79" s="82">
        <f t="shared" ref="E79:AI79" si="57">IF($D79*$C79&gt;=D80,D80,$D79*$C79)</f>
        <v>8000</v>
      </c>
      <c r="F79" s="83">
        <f t="shared" si="57"/>
        <v>8000</v>
      </c>
      <c r="G79" s="83">
        <f t="shared" si="57"/>
        <v>8000</v>
      </c>
      <c r="H79" s="83">
        <f t="shared" si="57"/>
        <v>8000</v>
      </c>
      <c r="I79" s="83">
        <f t="shared" si="57"/>
        <v>8000</v>
      </c>
      <c r="J79" s="83">
        <f t="shared" si="57"/>
        <v>0</v>
      </c>
      <c r="K79" s="83">
        <f t="shared" si="57"/>
        <v>0</v>
      </c>
      <c r="L79" s="83">
        <f t="shared" si="57"/>
        <v>0</v>
      </c>
      <c r="M79" s="83">
        <f t="shared" si="57"/>
        <v>0</v>
      </c>
      <c r="N79" s="83">
        <f t="shared" si="57"/>
        <v>0</v>
      </c>
      <c r="O79" s="83">
        <f t="shared" si="57"/>
        <v>0</v>
      </c>
      <c r="P79" s="83">
        <f t="shared" si="57"/>
        <v>0</v>
      </c>
      <c r="Q79" s="83">
        <f t="shared" si="57"/>
        <v>0</v>
      </c>
      <c r="R79" s="83">
        <f t="shared" si="57"/>
        <v>0</v>
      </c>
      <c r="S79" s="83">
        <f t="shared" si="57"/>
        <v>0</v>
      </c>
      <c r="T79" s="83">
        <f t="shared" si="57"/>
        <v>0</v>
      </c>
      <c r="U79" s="83">
        <f t="shared" si="57"/>
        <v>0</v>
      </c>
      <c r="V79" s="83">
        <f t="shared" si="57"/>
        <v>0</v>
      </c>
      <c r="W79" s="83">
        <f t="shared" si="57"/>
        <v>0</v>
      </c>
      <c r="X79" s="83">
        <f t="shared" si="57"/>
        <v>0</v>
      </c>
      <c r="Y79" s="83">
        <f t="shared" si="57"/>
        <v>0</v>
      </c>
      <c r="Z79" s="83">
        <f t="shared" si="57"/>
        <v>0</v>
      </c>
      <c r="AA79" s="83">
        <f t="shared" si="57"/>
        <v>0</v>
      </c>
      <c r="AB79" s="83">
        <f t="shared" si="57"/>
        <v>0</v>
      </c>
      <c r="AC79" s="83">
        <f t="shared" si="57"/>
        <v>0</v>
      </c>
      <c r="AD79" s="83">
        <f t="shared" si="57"/>
        <v>0</v>
      </c>
      <c r="AE79" s="83">
        <f t="shared" si="57"/>
        <v>0</v>
      </c>
      <c r="AF79" s="83">
        <f t="shared" si="57"/>
        <v>0</v>
      </c>
      <c r="AG79" s="83">
        <f t="shared" si="57"/>
        <v>0</v>
      </c>
      <c r="AH79" s="83">
        <f t="shared" si="57"/>
        <v>0</v>
      </c>
      <c r="AI79" s="84">
        <f t="shared" si="57"/>
        <v>0</v>
      </c>
      <c r="FD79" s="59"/>
    </row>
    <row r="80" spans="1:160">
      <c r="A80" s="60" t="str">
        <f>E75</f>
        <v>Anno 1</v>
      </c>
      <c r="B80" s="59" t="s">
        <v>61</v>
      </c>
      <c r="C80" s="81"/>
      <c r="D80" s="52">
        <f>D79</f>
        <v>40000</v>
      </c>
      <c r="E80" s="78">
        <f>$D80-E79</f>
        <v>32000</v>
      </c>
      <c r="F80" s="63">
        <f t="shared" ref="F80:AI80" si="58">IF(E80-F79&gt;0,E80-F79,0)</f>
        <v>24000</v>
      </c>
      <c r="G80" s="63">
        <f t="shared" si="58"/>
        <v>16000</v>
      </c>
      <c r="H80" s="63">
        <f t="shared" si="58"/>
        <v>8000</v>
      </c>
      <c r="I80" s="63">
        <f t="shared" si="58"/>
        <v>0</v>
      </c>
      <c r="J80" s="63">
        <f t="shared" si="58"/>
        <v>0</v>
      </c>
      <c r="K80" s="63">
        <f t="shared" si="58"/>
        <v>0</v>
      </c>
      <c r="L80" s="63">
        <f t="shared" si="58"/>
        <v>0</v>
      </c>
      <c r="M80" s="63">
        <f t="shared" si="58"/>
        <v>0</v>
      </c>
      <c r="N80" s="63">
        <f t="shared" si="58"/>
        <v>0</v>
      </c>
      <c r="O80" s="63">
        <f t="shared" si="58"/>
        <v>0</v>
      </c>
      <c r="P80" s="63">
        <f t="shared" si="58"/>
        <v>0</v>
      </c>
      <c r="Q80" s="63">
        <f t="shared" si="58"/>
        <v>0</v>
      </c>
      <c r="R80" s="63">
        <f t="shared" si="58"/>
        <v>0</v>
      </c>
      <c r="S80" s="63">
        <f t="shared" si="58"/>
        <v>0</v>
      </c>
      <c r="T80" s="63">
        <f t="shared" si="58"/>
        <v>0</v>
      </c>
      <c r="U80" s="63">
        <f t="shared" si="58"/>
        <v>0</v>
      </c>
      <c r="V80" s="63">
        <f t="shared" si="58"/>
        <v>0</v>
      </c>
      <c r="W80" s="63">
        <f t="shared" si="58"/>
        <v>0</v>
      </c>
      <c r="X80" s="63">
        <f t="shared" si="58"/>
        <v>0</v>
      </c>
      <c r="Y80" s="63">
        <f t="shared" si="58"/>
        <v>0</v>
      </c>
      <c r="Z80" s="63">
        <f t="shared" si="58"/>
        <v>0</v>
      </c>
      <c r="AA80" s="63">
        <f t="shared" si="58"/>
        <v>0</v>
      </c>
      <c r="AB80" s="63">
        <f t="shared" si="58"/>
        <v>0</v>
      </c>
      <c r="AC80" s="63">
        <f t="shared" si="58"/>
        <v>0</v>
      </c>
      <c r="AD80" s="63">
        <f t="shared" si="58"/>
        <v>0</v>
      </c>
      <c r="AE80" s="63">
        <f t="shared" si="58"/>
        <v>0</v>
      </c>
      <c r="AF80" s="63">
        <f t="shared" si="58"/>
        <v>0</v>
      </c>
      <c r="AG80" s="63">
        <f t="shared" si="58"/>
        <v>0</v>
      </c>
      <c r="AH80" s="63">
        <f t="shared" si="58"/>
        <v>0</v>
      </c>
      <c r="AI80" s="79">
        <f t="shared" si="58"/>
        <v>0</v>
      </c>
    </row>
    <row r="81" spans="1:160" s="80" customFormat="1">
      <c r="A81" s="95" t="str">
        <f>F75</f>
        <v>Anno 2</v>
      </c>
      <c r="B81" s="80" t="str">
        <f>$B77</f>
        <v>Costi di Start Up</v>
      </c>
      <c r="C81" s="81">
        <f>$C$5</f>
        <v>0.2</v>
      </c>
      <c r="D81" s="52"/>
      <c r="E81" s="85"/>
      <c r="F81" s="64">
        <f>IF($D81*$C81&gt;=$D82,$D82,$D81*$C81)</f>
        <v>0</v>
      </c>
      <c r="G81" s="64">
        <f t="shared" ref="G81:AI81" si="59">IF($D81*$C81&gt;=F82,F82,$D81*$C81)</f>
        <v>0</v>
      </c>
      <c r="H81" s="64">
        <f t="shared" si="59"/>
        <v>0</v>
      </c>
      <c r="I81" s="64">
        <f t="shared" si="59"/>
        <v>0</v>
      </c>
      <c r="J81" s="64">
        <f t="shared" si="59"/>
        <v>0</v>
      </c>
      <c r="K81" s="64">
        <f t="shared" si="59"/>
        <v>0</v>
      </c>
      <c r="L81" s="64">
        <f t="shared" si="59"/>
        <v>0</v>
      </c>
      <c r="M81" s="64">
        <f t="shared" si="59"/>
        <v>0</v>
      </c>
      <c r="N81" s="64">
        <f t="shared" si="59"/>
        <v>0</v>
      </c>
      <c r="O81" s="64">
        <f t="shared" si="59"/>
        <v>0</v>
      </c>
      <c r="P81" s="64">
        <f t="shared" si="59"/>
        <v>0</v>
      </c>
      <c r="Q81" s="64">
        <f t="shared" si="59"/>
        <v>0</v>
      </c>
      <c r="R81" s="64">
        <f t="shared" si="59"/>
        <v>0</v>
      </c>
      <c r="S81" s="64">
        <f t="shared" si="59"/>
        <v>0</v>
      </c>
      <c r="T81" s="64">
        <f t="shared" si="59"/>
        <v>0</v>
      </c>
      <c r="U81" s="64">
        <f t="shared" si="59"/>
        <v>0</v>
      </c>
      <c r="V81" s="64">
        <f t="shared" si="59"/>
        <v>0</v>
      </c>
      <c r="W81" s="64">
        <f t="shared" si="59"/>
        <v>0</v>
      </c>
      <c r="X81" s="64">
        <f t="shared" si="59"/>
        <v>0</v>
      </c>
      <c r="Y81" s="64">
        <f t="shared" si="59"/>
        <v>0</v>
      </c>
      <c r="Z81" s="64">
        <f t="shared" si="59"/>
        <v>0</v>
      </c>
      <c r="AA81" s="64">
        <f t="shared" si="59"/>
        <v>0</v>
      </c>
      <c r="AB81" s="64">
        <f t="shared" si="59"/>
        <v>0</v>
      </c>
      <c r="AC81" s="64">
        <f t="shared" si="59"/>
        <v>0</v>
      </c>
      <c r="AD81" s="64">
        <f t="shared" si="59"/>
        <v>0</v>
      </c>
      <c r="AE81" s="64">
        <f t="shared" si="59"/>
        <v>0</v>
      </c>
      <c r="AF81" s="64">
        <f t="shared" si="59"/>
        <v>0</v>
      </c>
      <c r="AG81" s="64">
        <f t="shared" si="59"/>
        <v>0</v>
      </c>
      <c r="AH81" s="64">
        <f t="shared" si="59"/>
        <v>0</v>
      </c>
      <c r="AI81" s="86">
        <f t="shared" si="59"/>
        <v>0</v>
      </c>
      <c r="FD81" s="59"/>
    </row>
    <row r="82" spans="1:160">
      <c r="A82" s="60" t="str">
        <f>F75</f>
        <v>Anno 2</v>
      </c>
      <c r="B82" s="59" t="s">
        <v>61</v>
      </c>
      <c r="C82" s="81"/>
      <c r="D82" s="52">
        <f>D81</f>
        <v>0</v>
      </c>
      <c r="E82" s="78"/>
      <c r="F82" s="63">
        <f>$D82-F81</f>
        <v>0</v>
      </c>
      <c r="G82" s="63">
        <f t="shared" ref="G82:AI82" si="60">IF(F82-G81&gt;0,F82-G81,0)</f>
        <v>0</v>
      </c>
      <c r="H82" s="63">
        <f t="shared" si="60"/>
        <v>0</v>
      </c>
      <c r="I82" s="63">
        <f t="shared" si="60"/>
        <v>0</v>
      </c>
      <c r="J82" s="63">
        <f t="shared" si="60"/>
        <v>0</v>
      </c>
      <c r="K82" s="63">
        <f t="shared" si="60"/>
        <v>0</v>
      </c>
      <c r="L82" s="63">
        <f t="shared" si="60"/>
        <v>0</v>
      </c>
      <c r="M82" s="63">
        <f t="shared" si="60"/>
        <v>0</v>
      </c>
      <c r="N82" s="63">
        <f t="shared" si="60"/>
        <v>0</v>
      </c>
      <c r="O82" s="63">
        <f t="shared" si="60"/>
        <v>0</v>
      </c>
      <c r="P82" s="63">
        <f t="shared" si="60"/>
        <v>0</v>
      </c>
      <c r="Q82" s="63">
        <f t="shared" si="60"/>
        <v>0</v>
      </c>
      <c r="R82" s="63">
        <f t="shared" si="60"/>
        <v>0</v>
      </c>
      <c r="S82" s="63">
        <f t="shared" si="60"/>
        <v>0</v>
      </c>
      <c r="T82" s="63">
        <f t="shared" si="60"/>
        <v>0</v>
      </c>
      <c r="U82" s="63">
        <f t="shared" si="60"/>
        <v>0</v>
      </c>
      <c r="V82" s="63">
        <f t="shared" si="60"/>
        <v>0</v>
      </c>
      <c r="W82" s="63">
        <f t="shared" si="60"/>
        <v>0</v>
      </c>
      <c r="X82" s="63">
        <f t="shared" si="60"/>
        <v>0</v>
      </c>
      <c r="Y82" s="63">
        <f t="shared" si="60"/>
        <v>0</v>
      </c>
      <c r="Z82" s="63">
        <f t="shared" si="60"/>
        <v>0</v>
      </c>
      <c r="AA82" s="63">
        <f t="shared" si="60"/>
        <v>0</v>
      </c>
      <c r="AB82" s="63">
        <f t="shared" si="60"/>
        <v>0</v>
      </c>
      <c r="AC82" s="63">
        <f t="shared" si="60"/>
        <v>0</v>
      </c>
      <c r="AD82" s="63">
        <f t="shared" si="60"/>
        <v>0</v>
      </c>
      <c r="AE82" s="63">
        <f t="shared" si="60"/>
        <v>0</v>
      </c>
      <c r="AF82" s="63">
        <f t="shared" si="60"/>
        <v>0</v>
      </c>
      <c r="AG82" s="63">
        <f t="shared" si="60"/>
        <v>0</v>
      </c>
      <c r="AH82" s="63">
        <f t="shared" si="60"/>
        <v>0</v>
      </c>
      <c r="AI82" s="79">
        <f t="shared" si="60"/>
        <v>0</v>
      </c>
    </row>
    <row r="83" spans="1:160" s="80" customFormat="1">
      <c r="A83" s="95" t="str">
        <f>G75</f>
        <v>Anno 3</v>
      </c>
      <c r="B83" s="80" t="str">
        <f>$B77</f>
        <v>Costi di Start Up</v>
      </c>
      <c r="C83" s="81">
        <f>$C$5</f>
        <v>0.2</v>
      </c>
      <c r="D83" s="52"/>
      <c r="E83" s="85"/>
      <c r="F83" s="64"/>
      <c r="G83" s="64">
        <f>IF($D83*$C83&gt;=$D84,$D84,$D83*$C83)</f>
        <v>0</v>
      </c>
      <c r="H83" s="64">
        <f t="shared" ref="H83:AI83" si="61">IF($D83*$C83&gt;=G84,G84,$D83*$C83)</f>
        <v>0</v>
      </c>
      <c r="I83" s="64">
        <f t="shared" si="61"/>
        <v>0</v>
      </c>
      <c r="J83" s="64">
        <f t="shared" si="61"/>
        <v>0</v>
      </c>
      <c r="K83" s="64">
        <f t="shared" si="61"/>
        <v>0</v>
      </c>
      <c r="L83" s="64">
        <f t="shared" si="61"/>
        <v>0</v>
      </c>
      <c r="M83" s="64">
        <f t="shared" si="61"/>
        <v>0</v>
      </c>
      <c r="N83" s="64">
        <f t="shared" si="61"/>
        <v>0</v>
      </c>
      <c r="O83" s="64">
        <f t="shared" si="61"/>
        <v>0</v>
      </c>
      <c r="P83" s="64">
        <f t="shared" si="61"/>
        <v>0</v>
      </c>
      <c r="Q83" s="64">
        <f t="shared" si="61"/>
        <v>0</v>
      </c>
      <c r="R83" s="64">
        <f t="shared" si="61"/>
        <v>0</v>
      </c>
      <c r="S83" s="64">
        <f t="shared" si="61"/>
        <v>0</v>
      </c>
      <c r="T83" s="64">
        <f t="shared" si="61"/>
        <v>0</v>
      </c>
      <c r="U83" s="64">
        <f t="shared" si="61"/>
        <v>0</v>
      </c>
      <c r="V83" s="64">
        <f t="shared" si="61"/>
        <v>0</v>
      </c>
      <c r="W83" s="64">
        <f t="shared" si="61"/>
        <v>0</v>
      </c>
      <c r="X83" s="64">
        <f t="shared" si="61"/>
        <v>0</v>
      </c>
      <c r="Y83" s="64">
        <f t="shared" si="61"/>
        <v>0</v>
      </c>
      <c r="Z83" s="64">
        <f t="shared" si="61"/>
        <v>0</v>
      </c>
      <c r="AA83" s="64">
        <f t="shared" si="61"/>
        <v>0</v>
      </c>
      <c r="AB83" s="64">
        <f t="shared" si="61"/>
        <v>0</v>
      </c>
      <c r="AC83" s="64">
        <f t="shared" si="61"/>
        <v>0</v>
      </c>
      <c r="AD83" s="64">
        <f t="shared" si="61"/>
        <v>0</v>
      </c>
      <c r="AE83" s="64">
        <f t="shared" si="61"/>
        <v>0</v>
      </c>
      <c r="AF83" s="64">
        <f t="shared" si="61"/>
        <v>0</v>
      </c>
      <c r="AG83" s="64">
        <f t="shared" si="61"/>
        <v>0</v>
      </c>
      <c r="AH83" s="64">
        <f t="shared" si="61"/>
        <v>0</v>
      </c>
      <c r="AI83" s="86">
        <f t="shared" si="61"/>
        <v>0</v>
      </c>
      <c r="FD83" s="59"/>
    </row>
    <row r="84" spans="1:160">
      <c r="A84" s="60" t="str">
        <f>G75</f>
        <v>Anno 3</v>
      </c>
      <c r="B84" s="59" t="s">
        <v>61</v>
      </c>
      <c r="C84" s="81"/>
      <c r="D84" s="52">
        <f>D83</f>
        <v>0</v>
      </c>
      <c r="E84" s="78"/>
      <c r="G84" s="63">
        <f>$D84-G83</f>
        <v>0</v>
      </c>
      <c r="H84" s="63">
        <f t="shared" ref="H84:AI84" si="62">IF(G84-H83&gt;0,G84-H83,0)</f>
        <v>0</v>
      </c>
      <c r="I84" s="63">
        <f t="shared" si="62"/>
        <v>0</v>
      </c>
      <c r="J84" s="63">
        <f t="shared" si="62"/>
        <v>0</v>
      </c>
      <c r="K84" s="63">
        <f t="shared" si="62"/>
        <v>0</v>
      </c>
      <c r="L84" s="63">
        <f t="shared" si="62"/>
        <v>0</v>
      </c>
      <c r="M84" s="63">
        <f t="shared" si="62"/>
        <v>0</v>
      </c>
      <c r="N84" s="63">
        <f t="shared" si="62"/>
        <v>0</v>
      </c>
      <c r="O84" s="63">
        <f t="shared" si="62"/>
        <v>0</v>
      </c>
      <c r="P84" s="63">
        <f t="shared" si="62"/>
        <v>0</v>
      </c>
      <c r="Q84" s="63">
        <f t="shared" si="62"/>
        <v>0</v>
      </c>
      <c r="R84" s="63">
        <f t="shared" si="62"/>
        <v>0</v>
      </c>
      <c r="S84" s="63">
        <f t="shared" si="62"/>
        <v>0</v>
      </c>
      <c r="T84" s="63">
        <f t="shared" si="62"/>
        <v>0</v>
      </c>
      <c r="U84" s="63">
        <f t="shared" si="62"/>
        <v>0</v>
      </c>
      <c r="V84" s="63">
        <f t="shared" si="62"/>
        <v>0</v>
      </c>
      <c r="W84" s="63">
        <f t="shared" si="62"/>
        <v>0</v>
      </c>
      <c r="X84" s="63">
        <f t="shared" si="62"/>
        <v>0</v>
      </c>
      <c r="Y84" s="63">
        <f t="shared" si="62"/>
        <v>0</v>
      </c>
      <c r="Z84" s="63">
        <f t="shared" si="62"/>
        <v>0</v>
      </c>
      <c r="AA84" s="63">
        <f t="shared" si="62"/>
        <v>0</v>
      </c>
      <c r="AB84" s="63">
        <f t="shared" si="62"/>
        <v>0</v>
      </c>
      <c r="AC84" s="63">
        <f t="shared" si="62"/>
        <v>0</v>
      </c>
      <c r="AD84" s="63">
        <f t="shared" si="62"/>
        <v>0</v>
      </c>
      <c r="AE84" s="63">
        <f t="shared" si="62"/>
        <v>0</v>
      </c>
      <c r="AF84" s="63">
        <f t="shared" si="62"/>
        <v>0</v>
      </c>
      <c r="AG84" s="63">
        <f t="shared" si="62"/>
        <v>0</v>
      </c>
      <c r="AH84" s="63">
        <f t="shared" si="62"/>
        <v>0</v>
      </c>
      <c r="AI84" s="79">
        <f t="shared" si="62"/>
        <v>0</v>
      </c>
    </row>
    <row r="85" spans="1:160" s="80" customFormat="1">
      <c r="A85" s="95" t="str">
        <f>H75</f>
        <v>Anno 4</v>
      </c>
      <c r="B85" s="80" t="str">
        <f>$B77</f>
        <v>Costi di Start Up</v>
      </c>
      <c r="C85" s="81">
        <f>$C$5</f>
        <v>0.2</v>
      </c>
      <c r="D85" s="52"/>
      <c r="E85" s="85"/>
      <c r="F85" s="64"/>
      <c r="G85" s="64"/>
      <c r="H85" s="64">
        <f>IF($D85*$C85&gt;=$D86,$D86,$D85*$C85)</f>
        <v>0</v>
      </c>
      <c r="I85" s="64">
        <f t="shared" ref="I85:AI85" si="63">IF($D85*$C85&gt;=H86,H86,$D85*$C85)</f>
        <v>0</v>
      </c>
      <c r="J85" s="64">
        <f t="shared" si="63"/>
        <v>0</v>
      </c>
      <c r="K85" s="64">
        <f t="shared" si="63"/>
        <v>0</v>
      </c>
      <c r="L85" s="64">
        <f t="shared" si="63"/>
        <v>0</v>
      </c>
      <c r="M85" s="64">
        <f t="shared" si="63"/>
        <v>0</v>
      </c>
      <c r="N85" s="64">
        <f t="shared" si="63"/>
        <v>0</v>
      </c>
      <c r="O85" s="64">
        <f t="shared" si="63"/>
        <v>0</v>
      </c>
      <c r="P85" s="64">
        <f t="shared" si="63"/>
        <v>0</v>
      </c>
      <c r="Q85" s="64">
        <f t="shared" si="63"/>
        <v>0</v>
      </c>
      <c r="R85" s="64">
        <f t="shared" si="63"/>
        <v>0</v>
      </c>
      <c r="S85" s="64">
        <f t="shared" si="63"/>
        <v>0</v>
      </c>
      <c r="T85" s="64">
        <f t="shared" si="63"/>
        <v>0</v>
      </c>
      <c r="U85" s="64">
        <f t="shared" si="63"/>
        <v>0</v>
      </c>
      <c r="V85" s="64">
        <f t="shared" si="63"/>
        <v>0</v>
      </c>
      <c r="W85" s="64">
        <f t="shared" si="63"/>
        <v>0</v>
      </c>
      <c r="X85" s="64">
        <f t="shared" si="63"/>
        <v>0</v>
      </c>
      <c r="Y85" s="64">
        <f t="shared" si="63"/>
        <v>0</v>
      </c>
      <c r="Z85" s="64">
        <f t="shared" si="63"/>
        <v>0</v>
      </c>
      <c r="AA85" s="64">
        <f t="shared" si="63"/>
        <v>0</v>
      </c>
      <c r="AB85" s="64">
        <f t="shared" si="63"/>
        <v>0</v>
      </c>
      <c r="AC85" s="64">
        <f t="shared" si="63"/>
        <v>0</v>
      </c>
      <c r="AD85" s="64">
        <f t="shared" si="63"/>
        <v>0</v>
      </c>
      <c r="AE85" s="64">
        <f t="shared" si="63"/>
        <v>0</v>
      </c>
      <c r="AF85" s="64">
        <f t="shared" si="63"/>
        <v>0</v>
      </c>
      <c r="AG85" s="64">
        <f t="shared" si="63"/>
        <v>0</v>
      </c>
      <c r="AH85" s="64">
        <f t="shared" si="63"/>
        <v>0</v>
      </c>
      <c r="AI85" s="86">
        <f t="shared" si="63"/>
        <v>0</v>
      </c>
      <c r="FD85" s="59"/>
    </row>
    <row r="86" spans="1:160">
      <c r="A86" s="60" t="str">
        <f>H75</f>
        <v>Anno 4</v>
      </c>
      <c r="B86" s="59" t="s">
        <v>61</v>
      </c>
      <c r="C86" s="81"/>
      <c r="D86" s="52">
        <f>D85</f>
        <v>0</v>
      </c>
      <c r="E86" s="78"/>
      <c r="H86" s="63">
        <f>$D86-H85</f>
        <v>0</v>
      </c>
      <c r="I86" s="63">
        <f t="shared" ref="I86:AI86" si="64">IF(H86-I85&gt;0,H86-I85,0)</f>
        <v>0</v>
      </c>
      <c r="J86" s="63">
        <f t="shared" si="64"/>
        <v>0</v>
      </c>
      <c r="K86" s="63">
        <f t="shared" si="64"/>
        <v>0</v>
      </c>
      <c r="L86" s="63">
        <f t="shared" si="64"/>
        <v>0</v>
      </c>
      <c r="M86" s="63">
        <f t="shared" si="64"/>
        <v>0</v>
      </c>
      <c r="N86" s="63">
        <f t="shared" si="64"/>
        <v>0</v>
      </c>
      <c r="O86" s="63">
        <f t="shared" si="64"/>
        <v>0</v>
      </c>
      <c r="P86" s="63">
        <f t="shared" si="64"/>
        <v>0</v>
      </c>
      <c r="Q86" s="63">
        <f t="shared" si="64"/>
        <v>0</v>
      </c>
      <c r="R86" s="63">
        <f t="shared" si="64"/>
        <v>0</v>
      </c>
      <c r="S86" s="63">
        <f t="shared" si="64"/>
        <v>0</v>
      </c>
      <c r="T86" s="63">
        <f t="shared" si="64"/>
        <v>0</v>
      </c>
      <c r="U86" s="63">
        <f t="shared" si="64"/>
        <v>0</v>
      </c>
      <c r="V86" s="63">
        <f t="shared" si="64"/>
        <v>0</v>
      </c>
      <c r="W86" s="63">
        <f t="shared" si="64"/>
        <v>0</v>
      </c>
      <c r="X86" s="63">
        <f t="shared" si="64"/>
        <v>0</v>
      </c>
      <c r="Y86" s="63">
        <f t="shared" si="64"/>
        <v>0</v>
      </c>
      <c r="Z86" s="63">
        <f t="shared" si="64"/>
        <v>0</v>
      </c>
      <c r="AA86" s="63">
        <f t="shared" si="64"/>
        <v>0</v>
      </c>
      <c r="AB86" s="63">
        <f t="shared" si="64"/>
        <v>0</v>
      </c>
      <c r="AC86" s="63">
        <f t="shared" si="64"/>
        <v>0</v>
      </c>
      <c r="AD86" s="63">
        <f t="shared" si="64"/>
        <v>0</v>
      </c>
      <c r="AE86" s="63">
        <f t="shared" si="64"/>
        <v>0</v>
      </c>
      <c r="AF86" s="63">
        <f t="shared" si="64"/>
        <v>0</v>
      </c>
      <c r="AG86" s="63">
        <f t="shared" si="64"/>
        <v>0</v>
      </c>
      <c r="AH86" s="63">
        <f t="shared" si="64"/>
        <v>0</v>
      </c>
      <c r="AI86" s="79">
        <f t="shared" si="64"/>
        <v>0</v>
      </c>
    </row>
    <row r="87" spans="1:160" s="80" customFormat="1">
      <c r="A87" s="95" t="str">
        <f>I75</f>
        <v>Anno 5</v>
      </c>
      <c r="B87" s="80" t="str">
        <f>$B77</f>
        <v>Costi di Start Up</v>
      </c>
      <c r="C87" s="81">
        <f>$C$5</f>
        <v>0.2</v>
      </c>
      <c r="D87" s="52"/>
      <c r="E87" s="85"/>
      <c r="F87" s="64"/>
      <c r="G87" s="64"/>
      <c r="H87" s="64"/>
      <c r="I87" s="64">
        <f>IF($D87*$C87&gt;=$D88,$D88,$D87*$C87)</f>
        <v>0</v>
      </c>
      <c r="J87" s="64">
        <f t="shared" ref="J87:AI87" si="65">IF($D87*$C87&gt;=I88,I88,$D87*$C87)</f>
        <v>0</v>
      </c>
      <c r="K87" s="64">
        <f t="shared" si="65"/>
        <v>0</v>
      </c>
      <c r="L87" s="64">
        <f t="shared" si="65"/>
        <v>0</v>
      </c>
      <c r="M87" s="64">
        <f t="shared" si="65"/>
        <v>0</v>
      </c>
      <c r="N87" s="64">
        <f t="shared" si="65"/>
        <v>0</v>
      </c>
      <c r="O87" s="64">
        <f t="shared" si="65"/>
        <v>0</v>
      </c>
      <c r="P87" s="64">
        <f t="shared" si="65"/>
        <v>0</v>
      </c>
      <c r="Q87" s="64">
        <f t="shared" si="65"/>
        <v>0</v>
      </c>
      <c r="R87" s="64">
        <f t="shared" si="65"/>
        <v>0</v>
      </c>
      <c r="S87" s="64">
        <f t="shared" si="65"/>
        <v>0</v>
      </c>
      <c r="T87" s="64">
        <f t="shared" si="65"/>
        <v>0</v>
      </c>
      <c r="U87" s="64">
        <f t="shared" si="65"/>
        <v>0</v>
      </c>
      <c r="V87" s="64">
        <f t="shared" si="65"/>
        <v>0</v>
      </c>
      <c r="W87" s="64">
        <f t="shared" si="65"/>
        <v>0</v>
      </c>
      <c r="X87" s="64">
        <f t="shared" si="65"/>
        <v>0</v>
      </c>
      <c r="Y87" s="64">
        <f t="shared" si="65"/>
        <v>0</v>
      </c>
      <c r="Z87" s="64">
        <f t="shared" si="65"/>
        <v>0</v>
      </c>
      <c r="AA87" s="64">
        <f t="shared" si="65"/>
        <v>0</v>
      </c>
      <c r="AB87" s="64">
        <f t="shared" si="65"/>
        <v>0</v>
      </c>
      <c r="AC87" s="64">
        <f t="shared" si="65"/>
        <v>0</v>
      </c>
      <c r="AD87" s="64">
        <f t="shared" si="65"/>
        <v>0</v>
      </c>
      <c r="AE87" s="64">
        <f t="shared" si="65"/>
        <v>0</v>
      </c>
      <c r="AF87" s="64">
        <f t="shared" si="65"/>
        <v>0</v>
      </c>
      <c r="AG87" s="64">
        <f t="shared" si="65"/>
        <v>0</v>
      </c>
      <c r="AH87" s="64">
        <f t="shared" si="65"/>
        <v>0</v>
      </c>
      <c r="AI87" s="86">
        <f t="shared" si="65"/>
        <v>0</v>
      </c>
      <c r="FD87" s="59"/>
    </row>
    <row r="88" spans="1:160">
      <c r="A88" s="60" t="str">
        <f>I75</f>
        <v>Anno 5</v>
      </c>
      <c r="B88" s="59" t="s">
        <v>61</v>
      </c>
      <c r="C88" s="81"/>
      <c r="D88" s="52">
        <f>D87</f>
        <v>0</v>
      </c>
      <c r="E88" s="78"/>
      <c r="I88" s="63">
        <f>$D88-I87</f>
        <v>0</v>
      </c>
      <c r="J88" s="63">
        <f t="shared" ref="J88:AI88" si="66">IF(I88-J87&gt;0,I88-J87,0)</f>
        <v>0</v>
      </c>
      <c r="K88" s="63">
        <f t="shared" si="66"/>
        <v>0</v>
      </c>
      <c r="L88" s="63">
        <f t="shared" si="66"/>
        <v>0</v>
      </c>
      <c r="M88" s="63">
        <f t="shared" si="66"/>
        <v>0</v>
      </c>
      <c r="N88" s="63">
        <f t="shared" si="66"/>
        <v>0</v>
      </c>
      <c r="O88" s="63">
        <f t="shared" si="66"/>
        <v>0</v>
      </c>
      <c r="P88" s="63">
        <f t="shared" si="66"/>
        <v>0</v>
      </c>
      <c r="Q88" s="63">
        <f t="shared" si="66"/>
        <v>0</v>
      </c>
      <c r="R88" s="63">
        <f t="shared" si="66"/>
        <v>0</v>
      </c>
      <c r="S88" s="63">
        <f t="shared" si="66"/>
        <v>0</v>
      </c>
      <c r="T88" s="63">
        <f t="shared" si="66"/>
        <v>0</v>
      </c>
      <c r="U88" s="63">
        <f t="shared" si="66"/>
        <v>0</v>
      </c>
      <c r="V88" s="63">
        <f t="shared" si="66"/>
        <v>0</v>
      </c>
      <c r="W88" s="63">
        <f t="shared" si="66"/>
        <v>0</v>
      </c>
      <c r="X88" s="63">
        <f t="shared" si="66"/>
        <v>0</v>
      </c>
      <c r="Y88" s="63">
        <f t="shared" si="66"/>
        <v>0</v>
      </c>
      <c r="Z88" s="63">
        <f t="shared" si="66"/>
        <v>0</v>
      </c>
      <c r="AA88" s="63">
        <f t="shared" si="66"/>
        <v>0</v>
      </c>
      <c r="AB88" s="63">
        <f t="shared" si="66"/>
        <v>0</v>
      </c>
      <c r="AC88" s="63">
        <f t="shared" si="66"/>
        <v>0</v>
      </c>
      <c r="AD88" s="63">
        <f t="shared" si="66"/>
        <v>0</v>
      </c>
      <c r="AE88" s="63">
        <f t="shared" si="66"/>
        <v>0</v>
      </c>
      <c r="AF88" s="63">
        <f t="shared" si="66"/>
        <v>0</v>
      </c>
      <c r="AG88" s="63">
        <f t="shared" si="66"/>
        <v>0</v>
      </c>
      <c r="AH88" s="63">
        <f t="shared" si="66"/>
        <v>0</v>
      </c>
      <c r="AI88" s="79">
        <f t="shared" si="66"/>
        <v>0</v>
      </c>
    </row>
    <row r="89" spans="1:160" s="80" customFormat="1">
      <c r="A89" s="95" t="str">
        <f>J75</f>
        <v>Anno 6</v>
      </c>
      <c r="B89" s="80" t="str">
        <f>$B77</f>
        <v>Costi di Start Up</v>
      </c>
      <c r="C89" s="81">
        <f>$C$5</f>
        <v>0.2</v>
      </c>
      <c r="D89" s="52"/>
      <c r="E89" s="85"/>
      <c r="F89" s="64"/>
      <c r="G89" s="64"/>
      <c r="H89" s="64"/>
      <c r="I89" s="64"/>
      <c r="J89" s="64">
        <f>IF($D89*$C89&gt;=$D90,$D90,$D89*$C89)</f>
        <v>0</v>
      </c>
      <c r="K89" s="64">
        <f t="shared" ref="K89:AI89" si="67">IF($D89*$C89&gt;=J90,J90,$D89*$C89)</f>
        <v>0</v>
      </c>
      <c r="L89" s="64">
        <f t="shared" si="67"/>
        <v>0</v>
      </c>
      <c r="M89" s="64">
        <f t="shared" si="67"/>
        <v>0</v>
      </c>
      <c r="N89" s="64">
        <f t="shared" si="67"/>
        <v>0</v>
      </c>
      <c r="O89" s="64">
        <f t="shared" si="67"/>
        <v>0</v>
      </c>
      <c r="P89" s="64">
        <f t="shared" si="67"/>
        <v>0</v>
      </c>
      <c r="Q89" s="64">
        <f t="shared" si="67"/>
        <v>0</v>
      </c>
      <c r="R89" s="64">
        <f t="shared" si="67"/>
        <v>0</v>
      </c>
      <c r="S89" s="64">
        <f t="shared" si="67"/>
        <v>0</v>
      </c>
      <c r="T89" s="64">
        <f t="shared" si="67"/>
        <v>0</v>
      </c>
      <c r="U89" s="64">
        <f t="shared" si="67"/>
        <v>0</v>
      </c>
      <c r="V89" s="64">
        <f t="shared" si="67"/>
        <v>0</v>
      </c>
      <c r="W89" s="64">
        <f t="shared" si="67"/>
        <v>0</v>
      </c>
      <c r="X89" s="64">
        <f t="shared" si="67"/>
        <v>0</v>
      </c>
      <c r="Y89" s="64">
        <f t="shared" si="67"/>
        <v>0</v>
      </c>
      <c r="Z89" s="64">
        <f t="shared" si="67"/>
        <v>0</v>
      </c>
      <c r="AA89" s="64">
        <f t="shared" si="67"/>
        <v>0</v>
      </c>
      <c r="AB89" s="64">
        <f t="shared" si="67"/>
        <v>0</v>
      </c>
      <c r="AC89" s="64">
        <f t="shared" si="67"/>
        <v>0</v>
      </c>
      <c r="AD89" s="64">
        <f t="shared" si="67"/>
        <v>0</v>
      </c>
      <c r="AE89" s="64">
        <f t="shared" si="67"/>
        <v>0</v>
      </c>
      <c r="AF89" s="64">
        <f t="shared" si="67"/>
        <v>0</v>
      </c>
      <c r="AG89" s="64">
        <f t="shared" si="67"/>
        <v>0</v>
      </c>
      <c r="AH89" s="64">
        <f t="shared" si="67"/>
        <v>0</v>
      </c>
      <c r="AI89" s="86">
        <f t="shared" si="67"/>
        <v>0</v>
      </c>
      <c r="FD89" s="59"/>
    </row>
    <row r="90" spans="1:160">
      <c r="A90" s="60" t="str">
        <f>J75</f>
        <v>Anno 6</v>
      </c>
      <c r="B90" s="59" t="s">
        <v>61</v>
      </c>
      <c r="C90" s="81"/>
      <c r="D90" s="52">
        <f>D89</f>
        <v>0</v>
      </c>
      <c r="E90" s="78"/>
      <c r="J90" s="63">
        <f>$D90-J89</f>
        <v>0</v>
      </c>
      <c r="K90" s="63">
        <f t="shared" ref="K90:AI90" si="68">IF(J90-K89&gt;0,J90-K89,0)</f>
        <v>0</v>
      </c>
      <c r="L90" s="63">
        <f t="shared" si="68"/>
        <v>0</v>
      </c>
      <c r="M90" s="63">
        <f t="shared" si="68"/>
        <v>0</v>
      </c>
      <c r="N90" s="63">
        <f t="shared" si="68"/>
        <v>0</v>
      </c>
      <c r="O90" s="63">
        <f t="shared" si="68"/>
        <v>0</v>
      </c>
      <c r="P90" s="63">
        <f t="shared" si="68"/>
        <v>0</v>
      </c>
      <c r="Q90" s="63">
        <f t="shared" si="68"/>
        <v>0</v>
      </c>
      <c r="R90" s="63">
        <f t="shared" si="68"/>
        <v>0</v>
      </c>
      <c r="S90" s="63">
        <f t="shared" si="68"/>
        <v>0</v>
      </c>
      <c r="T90" s="63">
        <f t="shared" si="68"/>
        <v>0</v>
      </c>
      <c r="U90" s="63">
        <f t="shared" si="68"/>
        <v>0</v>
      </c>
      <c r="V90" s="63">
        <f t="shared" si="68"/>
        <v>0</v>
      </c>
      <c r="W90" s="63">
        <f t="shared" si="68"/>
        <v>0</v>
      </c>
      <c r="X90" s="63">
        <f t="shared" si="68"/>
        <v>0</v>
      </c>
      <c r="Y90" s="63">
        <f t="shared" si="68"/>
        <v>0</v>
      </c>
      <c r="Z90" s="63">
        <f t="shared" si="68"/>
        <v>0</v>
      </c>
      <c r="AA90" s="63">
        <f t="shared" si="68"/>
        <v>0</v>
      </c>
      <c r="AB90" s="63">
        <f t="shared" si="68"/>
        <v>0</v>
      </c>
      <c r="AC90" s="63">
        <f t="shared" si="68"/>
        <v>0</v>
      </c>
      <c r="AD90" s="63">
        <f t="shared" si="68"/>
        <v>0</v>
      </c>
      <c r="AE90" s="63">
        <f t="shared" si="68"/>
        <v>0</v>
      </c>
      <c r="AF90" s="63">
        <f t="shared" si="68"/>
        <v>0</v>
      </c>
      <c r="AG90" s="63">
        <f t="shared" si="68"/>
        <v>0</v>
      </c>
      <c r="AH90" s="63">
        <f t="shared" si="68"/>
        <v>0</v>
      </c>
      <c r="AI90" s="79">
        <f t="shared" si="68"/>
        <v>0</v>
      </c>
    </row>
    <row r="91" spans="1:160" s="80" customFormat="1">
      <c r="A91" s="95" t="str">
        <f>K75</f>
        <v>Anno 7</v>
      </c>
      <c r="B91" s="80" t="str">
        <f>$B77</f>
        <v>Costi di Start Up</v>
      </c>
      <c r="C91" s="81">
        <f>$C$5</f>
        <v>0.2</v>
      </c>
      <c r="D91" s="52"/>
      <c r="E91" s="85"/>
      <c r="F91" s="64"/>
      <c r="G91" s="64"/>
      <c r="H91" s="64"/>
      <c r="I91" s="64"/>
      <c r="J91" s="87"/>
      <c r="K91" s="64">
        <f>IF($D91*$C91&gt;=$D92,$D92,$D91*$C91)</f>
        <v>0</v>
      </c>
      <c r="L91" s="64">
        <f t="shared" ref="L91:AI91" si="69">IF($D91*$C91&gt;=K92,K92,$D91*$C91)</f>
        <v>0</v>
      </c>
      <c r="M91" s="64">
        <f t="shared" si="69"/>
        <v>0</v>
      </c>
      <c r="N91" s="64">
        <f t="shared" si="69"/>
        <v>0</v>
      </c>
      <c r="O91" s="64">
        <f t="shared" si="69"/>
        <v>0</v>
      </c>
      <c r="P91" s="64">
        <f t="shared" si="69"/>
        <v>0</v>
      </c>
      <c r="Q91" s="64">
        <f t="shared" si="69"/>
        <v>0</v>
      </c>
      <c r="R91" s="64">
        <f t="shared" si="69"/>
        <v>0</v>
      </c>
      <c r="S91" s="64">
        <f t="shared" si="69"/>
        <v>0</v>
      </c>
      <c r="T91" s="64">
        <f t="shared" si="69"/>
        <v>0</v>
      </c>
      <c r="U91" s="64">
        <f t="shared" si="69"/>
        <v>0</v>
      </c>
      <c r="V91" s="64">
        <f t="shared" si="69"/>
        <v>0</v>
      </c>
      <c r="W91" s="64">
        <f t="shared" si="69"/>
        <v>0</v>
      </c>
      <c r="X91" s="64">
        <f t="shared" si="69"/>
        <v>0</v>
      </c>
      <c r="Y91" s="64">
        <f t="shared" si="69"/>
        <v>0</v>
      </c>
      <c r="Z91" s="64">
        <f t="shared" si="69"/>
        <v>0</v>
      </c>
      <c r="AA91" s="64">
        <f t="shared" si="69"/>
        <v>0</v>
      </c>
      <c r="AB91" s="64">
        <f t="shared" si="69"/>
        <v>0</v>
      </c>
      <c r="AC91" s="64">
        <f t="shared" si="69"/>
        <v>0</v>
      </c>
      <c r="AD91" s="64">
        <f t="shared" si="69"/>
        <v>0</v>
      </c>
      <c r="AE91" s="64">
        <f t="shared" si="69"/>
        <v>0</v>
      </c>
      <c r="AF91" s="64">
        <f t="shared" si="69"/>
        <v>0</v>
      </c>
      <c r="AG91" s="64">
        <f t="shared" si="69"/>
        <v>0</v>
      </c>
      <c r="AH91" s="64">
        <f t="shared" si="69"/>
        <v>0</v>
      </c>
      <c r="AI91" s="86">
        <f t="shared" si="69"/>
        <v>0</v>
      </c>
      <c r="FD91" s="59"/>
    </row>
    <row r="92" spans="1:160">
      <c r="A92" s="60" t="str">
        <f>K75</f>
        <v>Anno 7</v>
      </c>
      <c r="B92" s="59" t="s">
        <v>61</v>
      </c>
      <c r="C92" s="81"/>
      <c r="D92" s="52">
        <f>D91</f>
        <v>0</v>
      </c>
      <c r="E92" s="78"/>
      <c r="K92" s="63">
        <f>$D92-K91</f>
        <v>0</v>
      </c>
      <c r="L92" s="63">
        <f t="shared" ref="L92:AI92" si="70">IF(K92-L91&gt;0,K92-L91,0)</f>
        <v>0</v>
      </c>
      <c r="M92" s="63">
        <f t="shared" si="70"/>
        <v>0</v>
      </c>
      <c r="N92" s="63">
        <f t="shared" si="70"/>
        <v>0</v>
      </c>
      <c r="O92" s="63">
        <f t="shared" si="70"/>
        <v>0</v>
      </c>
      <c r="P92" s="63">
        <f t="shared" si="70"/>
        <v>0</v>
      </c>
      <c r="Q92" s="63">
        <f t="shared" si="70"/>
        <v>0</v>
      </c>
      <c r="R92" s="63">
        <f t="shared" si="70"/>
        <v>0</v>
      </c>
      <c r="S92" s="63">
        <f t="shared" si="70"/>
        <v>0</v>
      </c>
      <c r="T92" s="63">
        <f t="shared" si="70"/>
        <v>0</v>
      </c>
      <c r="U92" s="63">
        <f t="shared" si="70"/>
        <v>0</v>
      </c>
      <c r="V92" s="63">
        <f t="shared" si="70"/>
        <v>0</v>
      </c>
      <c r="W92" s="63">
        <f t="shared" si="70"/>
        <v>0</v>
      </c>
      <c r="X92" s="63">
        <f t="shared" si="70"/>
        <v>0</v>
      </c>
      <c r="Y92" s="63">
        <f t="shared" si="70"/>
        <v>0</v>
      </c>
      <c r="Z92" s="63">
        <f t="shared" si="70"/>
        <v>0</v>
      </c>
      <c r="AA92" s="63">
        <f t="shared" si="70"/>
        <v>0</v>
      </c>
      <c r="AB92" s="63">
        <f t="shared" si="70"/>
        <v>0</v>
      </c>
      <c r="AC92" s="63">
        <f t="shared" si="70"/>
        <v>0</v>
      </c>
      <c r="AD92" s="63">
        <f t="shared" si="70"/>
        <v>0</v>
      </c>
      <c r="AE92" s="63">
        <f t="shared" si="70"/>
        <v>0</v>
      </c>
      <c r="AF92" s="63">
        <f t="shared" si="70"/>
        <v>0</v>
      </c>
      <c r="AG92" s="63">
        <f t="shared" si="70"/>
        <v>0</v>
      </c>
      <c r="AH92" s="63">
        <f t="shared" si="70"/>
        <v>0</v>
      </c>
      <c r="AI92" s="79">
        <f t="shared" si="70"/>
        <v>0</v>
      </c>
    </row>
    <row r="93" spans="1:160" s="80" customFormat="1">
      <c r="A93" s="95" t="str">
        <f>L75</f>
        <v>Anno 8</v>
      </c>
      <c r="B93" s="80" t="str">
        <f>$B77</f>
        <v>Costi di Start Up</v>
      </c>
      <c r="C93" s="81">
        <f>$C$5</f>
        <v>0.2</v>
      </c>
      <c r="D93" s="52"/>
      <c r="E93" s="85"/>
      <c r="F93" s="64"/>
      <c r="G93" s="64"/>
      <c r="H93" s="64"/>
      <c r="I93" s="64"/>
      <c r="J93" s="87"/>
      <c r="K93" s="87"/>
      <c r="L93" s="64">
        <f>IF($D93*$C93&gt;=$D94,$D94,$D93*$C93)</f>
        <v>0</v>
      </c>
      <c r="M93" s="64">
        <f t="shared" ref="M93:AI93" si="71">IF($D93*$C93&gt;=L94,L94,$D93*$C93)</f>
        <v>0</v>
      </c>
      <c r="N93" s="64">
        <f t="shared" si="71"/>
        <v>0</v>
      </c>
      <c r="O93" s="64">
        <f t="shared" si="71"/>
        <v>0</v>
      </c>
      <c r="P93" s="64">
        <f t="shared" si="71"/>
        <v>0</v>
      </c>
      <c r="Q93" s="64">
        <f t="shared" si="71"/>
        <v>0</v>
      </c>
      <c r="R93" s="64">
        <f t="shared" si="71"/>
        <v>0</v>
      </c>
      <c r="S93" s="64">
        <f t="shared" si="71"/>
        <v>0</v>
      </c>
      <c r="T93" s="64">
        <f t="shared" si="71"/>
        <v>0</v>
      </c>
      <c r="U93" s="64">
        <f t="shared" si="71"/>
        <v>0</v>
      </c>
      <c r="V93" s="64">
        <f t="shared" si="71"/>
        <v>0</v>
      </c>
      <c r="W93" s="64">
        <f t="shared" si="71"/>
        <v>0</v>
      </c>
      <c r="X93" s="64">
        <f t="shared" si="71"/>
        <v>0</v>
      </c>
      <c r="Y93" s="64">
        <f t="shared" si="71"/>
        <v>0</v>
      </c>
      <c r="Z93" s="64">
        <f t="shared" si="71"/>
        <v>0</v>
      </c>
      <c r="AA93" s="64">
        <f t="shared" si="71"/>
        <v>0</v>
      </c>
      <c r="AB93" s="64">
        <f t="shared" si="71"/>
        <v>0</v>
      </c>
      <c r="AC93" s="64">
        <f t="shared" si="71"/>
        <v>0</v>
      </c>
      <c r="AD93" s="64">
        <f t="shared" si="71"/>
        <v>0</v>
      </c>
      <c r="AE93" s="64">
        <f t="shared" si="71"/>
        <v>0</v>
      </c>
      <c r="AF93" s="64">
        <f t="shared" si="71"/>
        <v>0</v>
      </c>
      <c r="AG93" s="64">
        <f t="shared" si="71"/>
        <v>0</v>
      </c>
      <c r="AH93" s="64">
        <f t="shared" si="71"/>
        <v>0</v>
      </c>
      <c r="AI93" s="86">
        <f t="shared" si="71"/>
        <v>0</v>
      </c>
      <c r="FD93" s="59"/>
    </row>
    <row r="94" spans="1:160">
      <c r="A94" s="60" t="str">
        <f>L75</f>
        <v>Anno 8</v>
      </c>
      <c r="B94" s="59" t="s">
        <v>61</v>
      </c>
      <c r="C94" s="81"/>
      <c r="D94" s="52">
        <f>D93</f>
        <v>0</v>
      </c>
      <c r="E94" s="78"/>
      <c r="L94" s="63">
        <f>$D94-L93</f>
        <v>0</v>
      </c>
      <c r="M94" s="63">
        <f t="shared" ref="M94:AI94" si="72">IF(L94-M93&gt;0,L94-M93,0)</f>
        <v>0</v>
      </c>
      <c r="N94" s="63">
        <f t="shared" si="72"/>
        <v>0</v>
      </c>
      <c r="O94" s="63">
        <f t="shared" si="72"/>
        <v>0</v>
      </c>
      <c r="P94" s="63">
        <f t="shared" si="72"/>
        <v>0</v>
      </c>
      <c r="Q94" s="63">
        <f t="shared" si="72"/>
        <v>0</v>
      </c>
      <c r="R94" s="63">
        <f t="shared" si="72"/>
        <v>0</v>
      </c>
      <c r="S94" s="63">
        <f t="shared" si="72"/>
        <v>0</v>
      </c>
      <c r="T94" s="63">
        <f t="shared" si="72"/>
        <v>0</v>
      </c>
      <c r="U94" s="63">
        <f t="shared" si="72"/>
        <v>0</v>
      </c>
      <c r="V94" s="63">
        <f t="shared" si="72"/>
        <v>0</v>
      </c>
      <c r="W94" s="63">
        <f t="shared" si="72"/>
        <v>0</v>
      </c>
      <c r="X94" s="63">
        <f t="shared" si="72"/>
        <v>0</v>
      </c>
      <c r="Y94" s="63">
        <f t="shared" si="72"/>
        <v>0</v>
      </c>
      <c r="Z94" s="63">
        <f t="shared" si="72"/>
        <v>0</v>
      </c>
      <c r="AA94" s="63">
        <f t="shared" si="72"/>
        <v>0</v>
      </c>
      <c r="AB94" s="63">
        <f t="shared" si="72"/>
        <v>0</v>
      </c>
      <c r="AC94" s="63">
        <f t="shared" si="72"/>
        <v>0</v>
      </c>
      <c r="AD94" s="63">
        <f t="shared" si="72"/>
        <v>0</v>
      </c>
      <c r="AE94" s="63">
        <f t="shared" si="72"/>
        <v>0</v>
      </c>
      <c r="AF94" s="63">
        <f t="shared" si="72"/>
        <v>0</v>
      </c>
      <c r="AG94" s="63">
        <f t="shared" si="72"/>
        <v>0</v>
      </c>
      <c r="AH94" s="63">
        <f t="shared" si="72"/>
        <v>0</v>
      </c>
      <c r="AI94" s="79">
        <f t="shared" si="72"/>
        <v>0</v>
      </c>
    </row>
    <row r="95" spans="1:160" s="80" customFormat="1">
      <c r="A95" s="95" t="str">
        <f>M75</f>
        <v>Anno 9</v>
      </c>
      <c r="B95" s="80" t="str">
        <f>$B77</f>
        <v>Costi di Start Up</v>
      </c>
      <c r="C95" s="81">
        <f>$C$5</f>
        <v>0.2</v>
      </c>
      <c r="D95" s="52"/>
      <c r="E95" s="85"/>
      <c r="F95" s="64"/>
      <c r="G95" s="64"/>
      <c r="H95" s="64"/>
      <c r="I95" s="64"/>
      <c r="J95" s="87"/>
      <c r="K95" s="87"/>
      <c r="L95" s="87"/>
      <c r="M95" s="64">
        <f>IF($D95*$C95&gt;=$D96,$D96,$D95*$C95)</f>
        <v>0</v>
      </c>
      <c r="N95" s="64">
        <f t="shared" ref="N95:AI95" si="73">IF($D95*$C95&gt;=M96,M96,$D95*$C95)</f>
        <v>0</v>
      </c>
      <c r="O95" s="64">
        <f t="shared" si="73"/>
        <v>0</v>
      </c>
      <c r="P95" s="64">
        <f t="shared" si="73"/>
        <v>0</v>
      </c>
      <c r="Q95" s="64">
        <f t="shared" si="73"/>
        <v>0</v>
      </c>
      <c r="R95" s="64">
        <f t="shared" si="73"/>
        <v>0</v>
      </c>
      <c r="S95" s="64">
        <f t="shared" si="73"/>
        <v>0</v>
      </c>
      <c r="T95" s="64">
        <f t="shared" si="73"/>
        <v>0</v>
      </c>
      <c r="U95" s="64">
        <f t="shared" si="73"/>
        <v>0</v>
      </c>
      <c r="V95" s="64">
        <f t="shared" si="73"/>
        <v>0</v>
      </c>
      <c r="W95" s="64">
        <f t="shared" si="73"/>
        <v>0</v>
      </c>
      <c r="X95" s="64">
        <f t="shared" si="73"/>
        <v>0</v>
      </c>
      <c r="Y95" s="64">
        <f t="shared" si="73"/>
        <v>0</v>
      </c>
      <c r="Z95" s="64">
        <f t="shared" si="73"/>
        <v>0</v>
      </c>
      <c r="AA95" s="64">
        <f t="shared" si="73"/>
        <v>0</v>
      </c>
      <c r="AB95" s="64">
        <f t="shared" si="73"/>
        <v>0</v>
      </c>
      <c r="AC95" s="64">
        <f t="shared" si="73"/>
        <v>0</v>
      </c>
      <c r="AD95" s="64">
        <f t="shared" si="73"/>
        <v>0</v>
      </c>
      <c r="AE95" s="64">
        <f t="shared" si="73"/>
        <v>0</v>
      </c>
      <c r="AF95" s="64">
        <f t="shared" si="73"/>
        <v>0</v>
      </c>
      <c r="AG95" s="64">
        <f t="shared" si="73"/>
        <v>0</v>
      </c>
      <c r="AH95" s="64">
        <f t="shared" si="73"/>
        <v>0</v>
      </c>
      <c r="AI95" s="86">
        <f t="shared" si="73"/>
        <v>0</v>
      </c>
      <c r="FD95" s="59"/>
    </row>
    <row r="96" spans="1:160">
      <c r="A96" s="60" t="str">
        <f>M75</f>
        <v>Anno 9</v>
      </c>
      <c r="B96" s="59" t="s">
        <v>61</v>
      </c>
      <c r="C96" s="81"/>
      <c r="D96" s="52">
        <f>D95</f>
        <v>0</v>
      </c>
      <c r="E96" s="78"/>
      <c r="M96" s="63">
        <f>$D96-M95</f>
        <v>0</v>
      </c>
      <c r="N96" s="63">
        <f t="shared" ref="N96:AI96" si="74">IF(M96-N95&gt;0,M96-N95,0)</f>
        <v>0</v>
      </c>
      <c r="O96" s="63">
        <f t="shared" si="74"/>
        <v>0</v>
      </c>
      <c r="P96" s="63">
        <f t="shared" si="74"/>
        <v>0</v>
      </c>
      <c r="Q96" s="63">
        <f t="shared" si="74"/>
        <v>0</v>
      </c>
      <c r="R96" s="63">
        <f t="shared" si="74"/>
        <v>0</v>
      </c>
      <c r="S96" s="63">
        <f t="shared" si="74"/>
        <v>0</v>
      </c>
      <c r="T96" s="63">
        <f t="shared" si="74"/>
        <v>0</v>
      </c>
      <c r="U96" s="63">
        <f t="shared" si="74"/>
        <v>0</v>
      </c>
      <c r="V96" s="63">
        <f t="shared" si="74"/>
        <v>0</v>
      </c>
      <c r="W96" s="63">
        <f t="shared" si="74"/>
        <v>0</v>
      </c>
      <c r="X96" s="63">
        <f t="shared" si="74"/>
        <v>0</v>
      </c>
      <c r="Y96" s="63">
        <f t="shared" si="74"/>
        <v>0</v>
      </c>
      <c r="Z96" s="63">
        <f t="shared" si="74"/>
        <v>0</v>
      </c>
      <c r="AA96" s="63">
        <f t="shared" si="74"/>
        <v>0</v>
      </c>
      <c r="AB96" s="63">
        <f t="shared" si="74"/>
        <v>0</v>
      </c>
      <c r="AC96" s="63">
        <f t="shared" si="74"/>
        <v>0</v>
      </c>
      <c r="AD96" s="63">
        <f t="shared" si="74"/>
        <v>0</v>
      </c>
      <c r="AE96" s="63">
        <f t="shared" si="74"/>
        <v>0</v>
      </c>
      <c r="AF96" s="63">
        <f t="shared" si="74"/>
        <v>0</v>
      </c>
      <c r="AG96" s="63">
        <f t="shared" si="74"/>
        <v>0</v>
      </c>
      <c r="AH96" s="63">
        <f t="shared" si="74"/>
        <v>0</v>
      </c>
      <c r="AI96" s="79">
        <f t="shared" si="74"/>
        <v>0</v>
      </c>
    </row>
    <row r="97" spans="1:160" s="80" customFormat="1">
      <c r="A97" s="95" t="str">
        <f>N75</f>
        <v>Anno 10</v>
      </c>
      <c r="B97" s="80" t="str">
        <f>$B77</f>
        <v>Costi di Start Up</v>
      </c>
      <c r="C97" s="81">
        <f>$C$5</f>
        <v>0.2</v>
      </c>
      <c r="D97" s="52"/>
      <c r="E97" s="85"/>
      <c r="F97" s="64"/>
      <c r="G97" s="64"/>
      <c r="H97" s="64"/>
      <c r="I97" s="64"/>
      <c r="J97" s="87"/>
      <c r="K97" s="87"/>
      <c r="L97" s="87"/>
      <c r="M97" s="87"/>
      <c r="N97" s="64">
        <f>IF($D97*$C97&gt;=$D98,$D98,$D97*$C97)</f>
        <v>0</v>
      </c>
      <c r="O97" s="64">
        <f t="shared" ref="O97:AI97" si="75">IF($D97*$C97&gt;=N98,N98,$D97*$C97)</f>
        <v>0</v>
      </c>
      <c r="P97" s="64">
        <f t="shared" si="75"/>
        <v>0</v>
      </c>
      <c r="Q97" s="64">
        <f t="shared" si="75"/>
        <v>0</v>
      </c>
      <c r="R97" s="64">
        <f t="shared" si="75"/>
        <v>0</v>
      </c>
      <c r="S97" s="64">
        <f t="shared" si="75"/>
        <v>0</v>
      </c>
      <c r="T97" s="64">
        <f t="shared" si="75"/>
        <v>0</v>
      </c>
      <c r="U97" s="64">
        <f t="shared" si="75"/>
        <v>0</v>
      </c>
      <c r="V97" s="64">
        <f t="shared" si="75"/>
        <v>0</v>
      </c>
      <c r="W97" s="64">
        <f t="shared" si="75"/>
        <v>0</v>
      </c>
      <c r="X97" s="64">
        <f t="shared" si="75"/>
        <v>0</v>
      </c>
      <c r="Y97" s="64">
        <f t="shared" si="75"/>
        <v>0</v>
      </c>
      <c r="Z97" s="64">
        <f t="shared" si="75"/>
        <v>0</v>
      </c>
      <c r="AA97" s="64">
        <f t="shared" si="75"/>
        <v>0</v>
      </c>
      <c r="AB97" s="64">
        <f t="shared" si="75"/>
        <v>0</v>
      </c>
      <c r="AC97" s="64">
        <f t="shared" si="75"/>
        <v>0</v>
      </c>
      <c r="AD97" s="64">
        <f t="shared" si="75"/>
        <v>0</v>
      </c>
      <c r="AE97" s="64">
        <f t="shared" si="75"/>
        <v>0</v>
      </c>
      <c r="AF97" s="64">
        <f t="shared" si="75"/>
        <v>0</v>
      </c>
      <c r="AG97" s="64">
        <f t="shared" si="75"/>
        <v>0</v>
      </c>
      <c r="AH97" s="64">
        <f t="shared" si="75"/>
        <v>0</v>
      </c>
      <c r="AI97" s="86">
        <f t="shared" si="75"/>
        <v>0</v>
      </c>
      <c r="FD97" s="59"/>
    </row>
    <row r="98" spans="1:160">
      <c r="A98" s="60" t="str">
        <f>N75</f>
        <v>Anno 10</v>
      </c>
      <c r="B98" s="59" t="s">
        <v>61</v>
      </c>
      <c r="C98" s="81"/>
      <c r="D98" s="52">
        <f>D97</f>
        <v>0</v>
      </c>
      <c r="E98" s="78"/>
      <c r="N98" s="63">
        <f>$D98-N97</f>
        <v>0</v>
      </c>
      <c r="O98" s="63">
        <f t="shared" ref="O98:AI98" si="76">IF(N98-O97&gt;0,N98-O97,0)</f>
        <v>0</v>
      </c>
      <c r="P98" s="63">
        <f t="shared" si="76"/>
        <v>0</v>
      </c>
      <c r="Q98" s="63">
        <f t="shared" si="76"/>
        <v>0</v>
      </c>
      <c r="R98" s="63">
        <f t="shared" si="76"/>
        <v>0</v>
      </c>
      <c r="S98" s="63">
        <f t="shared" si="76"/>
        <v>0</v>
      </c>
      <c r="T98" s="63">
        <f t="shared" si="76"/>
        <v>0</v>
      </c>
      <c r="U98" s="63">
        <f t="shared" si="76"/>
        <v>0</v>
      </c>
      <c r="V98" s="63">
        <f t="shared" si="76"/>
        <v>0</v>
      </c>
      <c r="W98" s="63">
        <f t="shared" si="76"/>
        <v>0</v>
      </c>
      <c r="X98" s="63">
        <f t="shared" si="76"/>
        <v>0</v>
      </c>
      <c r="Y98" s="63">
        <f t="shared" si="76"/>
        <v>0</v>
      </c>
      <c r="Z98" s="63">
        <f t="shared" si="76"/>
        <v>0</v>
      </c>
      <c r="AA98" s="63">
        <f t="shared" si="76"/>
        <v>0</v>
      </c>
      <c r="AB98" s="63">
        <f t="shared" si="76"/>
        <v>0</v>
      </c>
      <c r="AC98" s="63">
        <f t="shared" si="76"/>
        <v>0</v>
      </c>
      <c r="AD98" s="63">
        <f t="shared" si="76"/>
        <v>0</v>
      </c>
      <c r="AE98" s="63">
        <f t="shared" si="76"/>
        <v>0</v>
      </c>
      <c r="AF98" s="63">
        <f t="shared" si="76"/>
        <v>0</v>
      </c>
      <c r="AG98" s="63">
        <f t="shared" si="76"/>
        <v>0</v>
      </c>
      <c r="AH98" s="63">
        <f t="shared" si="76"/>
        <v>0</v>
      </c>
      <c r="AI98" s="79">
        <f t="shared" si="76"/>
        <v>0</v>
      </c>
    </row>
    <row r="99" spans="1:160" s="80" customFormat="1">
      <c r="A99" s="95" t="str">
        <f>O75</f>
        <v>Anno 11</v>
      </c>
      <c r="B99" s="80" t="str">
        <f>$B77</f>
        <v>Costi di Start Up</v>
      </c>
      <c r="C99" s="81">
        <f>$C$5</f>
        <v>0.2</v>
      </c>
      <c r="D99" s="52"/>
      <c r="E99" s="85"/>
      <c r="F99" s="64"/>
      <c r="G99" s="64"/>
      <c r="H99" s="64"/>
      <c r="I99" s="64"/>
      <c r="J99" s="87"/>
      <c r="K99" s="87"/>
      <c r="L99" s="87"/>
      <c r="M99" s="87"/>
      <c r="N99" s="87"/>
      <c r="O99" s="64">
        <f>IF($D99*$C99&gt;=$D100,$D100,$D99*$C99)</f>
        <v>0</v>
      </c>
      <c r="P99" s="64">
        <f t="shared" ref="P99:AI99" si="77">IF($D99*$C99&gt;=O100,O100,$D99*$C99)</f>
        <v>0</v>
      </c>
      <c r="Q99" s="64">
        <f t="shared" si="77"/>
        <v>0</v>
      </c>
      <c r="R99" s="64">
        <f t="shared" si="77"/>
        <v>0</v>
      </c>
      <c r="S99" s="64">
        <f t="shared" si="77"/>
        <v>0</v>
      </c>
      <c r="T99" s="64">
        <f t="shared" si="77"/>
        <v>0</v>
      </c>
      <c r="U99" s="64">
        <f t="shared" si="77"/>
        <v>0</v>
      </c>
      <c r="V99" s="64">
        <f t="shared" si="77"/>
        <v>0</v>
      </c>
      <c r="W99" s="64">
        <f t="shared" si="77"/>
        <v>0</v>
      </c>
      <c r="X99" s="64">
        <f t="shared" si="77"/>
        <v>0</v>
      </c>
      <c r="Y99" s="64">
        <f t="shared" si="77"/>
        <v>0</v>
      </c>
      <c r="Z99" s="64">
        <f t="shared" si="77"/>
        <v>0</v>
      </c>
      <c r="AA99" s="64">
        <f t="shared" si="77"/>
        <v>0</v>
      </c>
      <c r="AB99" s="64">
        <f t="shared" si="77"/>
        <v>0</v>
      </c>
      <c r="AC99" s="64">
        <f t="shared" si="77"/>
        <v>0</v>
      </c>
      <c r="AD99" s="64">
        <f t="shared" si="77"/>
        <v>0</v>
      </c>
      <c r="AE99" s="64">
        <f t="shared" si="77"/>
        <v>0</v>
      </c>
      <c r="AF99" s="64">
        <f t="shared" si="77"/>
        <v>0</v>
      </c>
      <c r="AG99" s="64">
        <f t="shared" si="77"/>
        <v>0</v>
      </c>
      <c r="AH99" s="64">
        <f t="shared" si="77"/>
        <v>0</v>
      </c>
      <c r="AI99" s="86">
        <f t="shared" si="77"/>
        <v>0</v>
      </c>
      <c r="FD99" s="59"/>
    </row>
    <row r="100" spans="1:160">
      <c r="A100" s="60" t="str">
        <f>O75</f>
        <v>Anno 11</v>
      </c>
      <c r="B100" s="59" t="s">
        <v>61</v>
      </c>
      <c r="C100" s="81"/>
      <c r="D100" s="52">
        <f>D99</f>
        <v>0</v>
      </c>
      <c r="E100" s="78"/>
      <c r="O100" s="63">
        <f>$D100-O99</f>
        <v>0</v>
      </c>
      <c r="P100" s="63">
        <f t="shared" ref="P100:AI100" si="78">IF(O100-P99&gt;0,O100-P99,0)</f>
        <v>0</v>
      </c>
      <c r="Q100" s="63">
        <f t="shared" si="78"/>
        <v>0</v>
      </c>
      <c r="R100" s="63">
        <f t="shared" si="78"/>
        <v>0</v>
      </c>
      <c r="S100" s="63">
        <f t="shared" si="78"/>
        <v>0</v>
      </c>
      <c r="T100" s="63">
        <f t="shared" si="78"/>
        <v>0</v>
      </c>
      <c r="U100" s="63">
        <f t="shared" si="78"/>
        <v>0</v>
      </c>
      <c r="V100" s="63">
        <f t="shared" si="78"/>
        <v>0</v>
      </c>
      <c r="W100" s="63">
        <f t="shared" si="78"/>
        <v>0</v>
      </c>
      <c r="X100" s="63">
        <f t="shared" si="78"/>
        <v>0</v>
      </c>
      <c r="Y100" s="63">
        <f t="shared" si="78"/>
        <v>0</v>
      </c>
      <c r="Z100" s="63">
        <f t="shared" si="78"/>
        <v>0</v>
      </c>
      <c r="AA100" s="63">
        <f t="shared" si="78"/>
        <v>0</v>
      </c>
      <c r="AB100" s="63">
        <f t="shared" si="78"/>
        <v>0</v>
      </c>
      <c r="AC100" s="63">
        <f t="shared" si="78"/>
        <v>0</v>
      </c>
      <c r="AD100" s="63">
        <f t="shared" si="78"/>
        <v>0</v>
      </c>
      <c r="AE100" s="63">
        <f t="shared" si="78"/>
        <v>0</v>
      </c>
      <c r="AF100" s="63">
        <f t="shared" si="78"/>
        <v>0</v>
      </c>
      <c r="AG100" s="63">
        <f t="shared" si="78"/>
        <v>0</v>
      </c>
      <c r="AH100" s="63">
        <f t="shared" si="78"/>
        <v>0</v>
      </c>
      <c r="AI100" s="79">
        <f t="shared" si="78"/>
        <v>0</v>
      </c>
    </row>
    <row r="101" spans="1:160" s="80" customFormat="1">
      <c r="A101" s="95" t="str">
        <f>P75</f>
        <v>Anno 12</v>
      </c>
      <c r="B101" s="80" t="str">
        <f>$B77</f>
        <v>Costi di Start Up</v>
      </c>
      <c r="C101" s="81">
        <f>$C$5</f>
        <v>0.2</v>
      </c>
      <c r="D101" s="52"/>
      <c r="E101" s="85"/>
      <c r="F101" s="64"/>
      <c r="G101" s="64"/>
      <c r="H101" s="64"/>
      <c r="I101" s="64"/>
      <c r="J101" s="87"/>
      <c r="K101" s="87"/>
      <c r="L101" s="87"/>
      <c r="M101" s="87"/>
      <c r="N101" s="87"/>
      <c r="O101" s="87"/>
      <c r="P101" s="64">
        <f>IF($D101*$C101&gt;=$D102,$D102,$D101*$C101)</f>
        <v>0</v>
      </c>
      <c r="Q101" s="64">
        <f t="shared" ref="Q101:AI101" si="79">IF($D101*$C101&gt;=P102,P102,$D101*$C101)</f>
        <v>0</v>
      </c>
      <c r="R101" s="64">
        <f t="shared" si="79"/>
        <v>0</v>
      </c>
      <c r="S101" s="64">
        <f t="shared" si="79"/>
        <v>0</v>
      </c>
      <c r="T101" s="64">
        <f t="shared" si="79"/>
        <v>0</v>
      </c>
      <c r="U101" s="64">
        <f t="shared" si="79"/>
        <v>0</v>
      </c>
      <c r="V101" s="64">
        <f t="shared" si="79"/>
        <v>0</v>
      </c>
      <c r="W101" s="64">
        <f t="shared" si="79"/>
        <v>0</v>
      </c>
      <c r="X101" s="64">
        <f t="shared" si="79"/>
        <v>0</v>
      </c>
      <c r="Y101" s="64">
        <f t="shared" si="79"/>
        <v>0</v>
      </c>
      <c r="Z101" s="64">
        <f t="shared" si="79"/>
        <v>0</v>
      </c>
      <c r="AA101" s="64">
        <f t="shared" si="79"/>
        <v>0</v>
      </c>
      <c r="AB101" s="64">
        <f t="shared" si="79"/>
        <v>0</v>
      </c>
      <c r="AC101" s="64">
        <f t="shared" si="79"/>
        <v>0</v>
      </c>
      <c r="AD101" s="64">
        <f t="shared" si="79"/>
        <v>0</v>
      </c>
      <c r="AE101" s="64">
        <f t="shared" si="79"/>
        <v>0</v>
      </c>
      <c r="AF101" s="64">
        <f t="shared" si="79"/>
        <v>0</v>
      </c>
      <c r="AG101" s="64">
        <f t="shared" si="79"/>
        <v>0</v>
      </c>
      <c r="AH101" s="64">
        <f t="shared" si="79"/>
        <v>0</v>
      </c>
      <c r="AI101" s="86">
        <f t="shared" si="79"/>
        <v>0</v>
      </c>
      <c r="FD101" s="59"/>
    </row>
    <row r="102" spans="1:160">
      <c r="A102" s="60" t="str">
        <f>P75</f>
        <v>Anno 12</v>
      </c>
      <c r="B102" s="59" t="s">
        <v>61</v>
      </c>
      <c r="C102" s="88"/>
      <c r="D102" s="52">
        <f>D101</f>
        <v>0</v>
      </c>
      <c r="E102" s="78"/>
      <c r="P102" s="63">
        <f>$D102-P101</f>
        <v>0</v>
      </c>
      <c r="Q102" s="63">
        <f t="shared" ref="Q102:AI102" si="80">IF(P102-Q101&gt;0,P102-Q101,0)</f>
        <v>0</v>
      </c>
      <c r="R102" s="63">
        <f t="shared" si="80"/>
        <v>0</v>
      </c>
      <c r="S102" s="63">
        <f t="shared" si="80"/>
        <v>0</v>
      </c>
      <c r="T102" s="63">
        <f t="shared" si="80"/>
        <v>0</v>
      </c>
      <c r="U102" s="63">
        <f t="shared" si="80"/>
        <v>0</v>
      </c>
      <c r="V102" s="63">
        <f t="shared" si="80"/>
        <v>0</v>
      </c>
      <c r="W102" s="63">
        <f t="shared" si="80"/>
        <v>0</v>
      </c>
      <c r="X102" s="63">
        <f t="shared" si="80"/>
        <v>0</v>
      </c>
      <c r="Y102" s="63">
        <f t="shared" si="80"/>
        <v>0</v>
      </c>
      <c r="Z102" s="63">
        <f t="shared" si="80"/>
        <v>0</v>
      </c>
      <c r="AA102" s="63">
        <f t="shared" si="80"/>
        <v>0</v>
      </c>
      <c r="AB102" s="63">
        <f t="shared" si="80"/>
        <v>0</v>
      </c>
      <c r="AC102" s="63">
        <f t="shared" si="80"/>
        <v>0</v>
      </c>
      <c r="AD102" s="63">
        <f t="shared" si="80"/>
        <v>0</v>
      </c>
      <c r="AE102" s="63">
        <f t="shared" si="80"/>
        <v>0</v>
      </c>
      <c r="AF102" s="63">
        <f t="shared" si="80"/>
        <v>0</v>
      </c>
      <c r="AG102" s="63">
        <f t="shared" si="80"/>
        <v>0</v>
      </c>
      <c r="AH102" s="63">
        <f t="shared" si="80"/>
        <v>0</v>
      </c>
      <c r="AI102" s="79">
        <f t="shared" si="80"/>
        <v>0</v>
      </c>
    </row>
    <row r="103" spans="1:160">
      <c r="A103" s="95" t="str">
        <f>Q75</f>
        <v>Anno 13</v>
      </c>
      <c r="B103" s="80" t="str">
        <f>$B101</f>
        <v>Costi di Start Up</v>
      </c>
      <c r="C103" s="81">
        <f>$C$5</f>
        <v>0.2</v>
      </c>
      <c r="D103" s="52"/>
      <c r="E103" s="78"/>
      <c r="Q103" s="64">
        <f>IF($D103*$C103&gt;=$D104,$D104,$D103*$C103)</f>
        <v>0</v>
      </c>
      <c r="R103" s="64">
        <f t="shared" ref="R103:AI103" si="81">IF($D103*$C103&gt;=Q104,Q104,$D103*$C103)</f>
        <v>0</v>
      </c>
      <c r="S103" s="64">
        <f t="shared" si="81"/>
        <v>0</v>
      </c>
      <c r="T103" s="64">
        <f t="shared" si="81"/>
        <v>0</v>
      </c>
      <c r="U103" s="64">
        <f t="shared" si="81"/>
        <v>0</v>
      </c>
      <c r="V103" s="64">
        <f t="shared" si="81"/>
        <v>0</v>
      </c>
      <c r="W103" s="64">
        <f t="shared" si="81"/>
        <v>0</v>
      </c>
      <c r="X103" s="64">
        <f t="shared" si="81"/>
        <v>0</v>
      </c>
      <c r="Y103" s="64">
        <f t="shared" si="81"/>
        <v>0</v>
      </c>
      <c r="Z103" s="64">
        <f t="shared" si="81"/>
        <v>0</v>
      </c>
      <c r="AA103" s="64">
        <f t="shared" si="81"/>
        <v>0</v>
      </c>
      <c r="AB103" s="64">
        <f t="shared" si="81"/>
        <v>0</v>
      </c>
      <c r="AC103" s="64">
        <f t="shared" si="81"/>
        <v>0</v>
      </c>
      <c r="AD103" s="64">
        <f t="shared" si="81"/>
        <v>0</v>
      </c>
      <c r="AE103" s="64">
        <f t="shared" si="81"/>
        <v>0</v>
      </c>
      <c r="AF103" s="64">
        <f t="shared" si="81"/>
        <v>0</v>
      </c>
      <c r="AG103" s="64">
        <f t="shared" si="81"/>
        <v>0</v>
      </c>
      <c r="AH103" s="64">
        <f t="shared" si="81"/>
        <v>0</v>
      </c>
      <c r="AI103" s="86">
        <f t="shared" si="81"/>
        <v>0</v>
      </c>
    </row>
    <row r="104" spans="1:160">
      <c r="A104" s="60" t="str">
        <f>Q75</f>
        <v>Anno 13</v>
      </c>
      <c r="B104" s="59" t="s">
        <v>61</v>
      </c>
      <c r="C104" s="81"/>
      <c r="D104" s="52">
        <f>D103</f>
        <v>0</v>
      </c>
      <c r="E104" s="78"/>
      <c r="Q104" s="63">
        <f>$D104-Q103</f>
        <v>0</v>
      </c>
      <c r="R104" s="63">
        <f t="shared" ref="R104:AI104" si="82">IF(Q104-R103&gt;0,Q104-R103,0)</f>
        <v>0</v>
      </c>
      <c r="S104" s="63">
        <f t="shared" si="82"/>
        <v>0</v>
      </c>
      <c r="T104" s="63">
        <f t="shared" si="82"/>
        <v>0</v>
      </c>
      <c r="U104" s="63">
        <f t="shared" si="82"/>
        <v>0</v>
      </c>
      <c r="V104" s="63">
        <f t="shared" si="82"/>
        <v>0</v>
      </c>
      <c r="W104" s="63">
        <f t="shared" si="82"/>
        <v>0</v>
      </c>
      <c r="X104" s="63">
        <f t="shared" si="82"/>
        <v>0</v>
      </c>
      <c r="Y104" s="63">
        <f t="shared" si="82"/>
        <v>0</v>
      </c>
      <c r="Z104" s="63">
        <f t="shared" si="82"/>
        <v>0</v>
      </c>
      <c r="AA104" s="63">
        <f t="shared" si="82"/>
        <v>0</v>
      </c>
      <c r="AB104" s="63">
        <f t="shared" si="82"/>
        <v>0</v>
      </c>
      <c r="AC104" s="63">
        <f t="shared" si="82"/>
        <v>0</v>
      </c>
      <c r="AD104" s="63">
        <f t="shared" si="82"/>
        <v>0</v>
      </c>
      <c r="AE104" s="63">
        <f t="shared" si="82"/>
        <v>0</v>
      </c>
      <c r="AF104" s="63">
        <f t="shared" si="82"/>
        <v>0</v>
      </c>
      <c r="AG104" s="63">
        <f t="shared" si="82"/>
        <v>0</v>
      </c>
      <c r="AH104" s="63">
        <f t="shared" si="82"/>
        <v>0</v>
      </c>
      <c r="AI104" s="79">
        <f t="shared" si="82"/>
        <v>0</v>
      </c>
    </row>
    <row r="105" spans="1:160">
      <c r="A105" s="95" t="str">
        <f>R75</f>
        <v>Anno 14</v>
      </c>
      <c r="B105" s="80" t="str">
        <f>$B101</f>
        <v>Costi di Start Up</v>
      </c>
      <c r="C105" s="81">
        <f>$C$5</f>
        <v>0.2</v>
      </c>
      <c r="D105" s="52"/>
      <c r="E105" s="78"/>
      <c r="Q105" s="64"/>
      <c r="R105" s="64">
        <f>IF($D105*$C105&gt;=$D106,$D106,$D105*$C105)</f>
        <v>0</v>
      </c>
      <c r="S105" s="64">
        <f t="shared" ref="S105:AI105" si="83">IF($D105*$C105&gt;=R106,R106,$D105*$C105)</f>
        <v>0</v>
      </c>
      <c r="T105" s="64">
        <f t="shared" si="83"/>
        <v>0</v>
      </c>
      <c r="U105" s="64">
        <f t="shared" si="83"/>
        <v>0</v>
      </c>
      <c r="V105" s="64">
        <f t="shared" si="83"/>
        <v>0</v>
      </c>
      <c r="W105" s="64">
        <f t="shared" si="83"/>
        <v>0</v>
      </c>
      <c r="X105" s="64">
        <f t="shared" si="83"/>
        <v>0</v>
      </c>
      <c r="Y105" s="64">
        <f t="shared" si="83"/>
        <v>0</v>
      </c>
      <c r="Z105" s="64">
        <f t="shared" si="83"/>
        <v>0</v>
      </c>
      <c r="AA105" s="64">
        <f t="shared" si="83"/>
        <v>0</v>
      </c>
      <c r="AB105" s="64">
        <f t="shared" si="83"/>
        <v>0</v>
      </c>
      <c r="AC105" s="64">
        <f t="shared" si="83"/>
        <v>0</v>
      </c>
      <c r="AD105" s="64">
        <f t="shared" si="83"/>
        <v>0</v>
      </c>
      <c r="AE105" s="64">
        <f t="shared" si="83"/>
        <v>0</v>
      </c>
      <c r="AF105" s="64">
        <f t="shared" si="83"/>
        <v>0</v>
      </c>
      <c r="AG105" s="64">
        <f t="shared" si="83"/>
        <v>0</v>
      </c>
      <c r="AH105" s="64">
        <f t="shared" si="83"/>
        <v>0</v>
      </c>
      <c r="AI105" s="86">
        <f t="shared" si="83"/>
        <v>0</v>
      </c>
    </row>
    <row r="106" spans="1:160">
      <c r="A106" s="60" t="str">
        <f>R75</f>
        <v>Anno 14</v>
      </c>
      <c r="B106" s="59" t="s">
        <v>61</v>
      </c>
      <c r="C106" s="81"/>
      <c r="D106" s="52">
        <f>D105</f>
        <v>0</v>
      </c>
      <c r="E106" s="78"/>
      <c r="Q106" s="63"/>
      <c r="R106" s="63">
        <f>$D106-R105</f>
        <v>0</v>
      </c>
      <c r="S106" s="63">
        <f t="shared" ref="S106:AI106" si="84">IF(R106-S105&gt;0,R106-S105,0)</f>
        <v>0</v>
      </c>
      <c r="T106" s="63">
        <f t="shared" si="84"/>
        <v>0</v>
      </c>
      <c r="U106" s="63">
        <f t="shared" si="84"/>
        <v>0</v>
      </c>
      <c r="V106" s="63">
        <f t="shared" si="84"/>
        <v>0</v>
      </c>
      <c r="W106" s="63">
        <f t="shared" si="84"/>
        <v>0</v>
      </c>
      <c r="X106" s="63">
        <f t="shared" si="84"/>
        <v>0</v>
      </c>
      <c r="Y106" s="63">
        <f t="shared" si="84"/>
        <v>0</v>
      </c>
      <c r="Z106" s="63">
        <f t="shared" si="84"/>
        <v>0</v>
      </c>
      <c r="AA106" s="63">
        <f t="shared" si="84"/>
        <v>0</v>
      </c>
      <c r="AB106" s="63">
        <f t="shared" si="84"/>
        <v>0</v>
      </c>
      <c r="AC106" s="63">
        <f t="shared" si="84"/>
        <v>0</v>
      </c>
      <c r="AD106" s="63">
        <f t="shared" si="84"/>
        <v>0</v>
      </c>
      <c r="AE106" s="63">
        <f t="shared" si="84"/>
        <v>0</v>
      </c>
      <c r="AF106" s="63">
        <f t="shared" si="84"/>
        <v>0</v>
      </c>
      <c r="AG106" s="63">
        <f t="shared" si="84"/>
        <v>0</v>
      </c>
      <c r="AH106" s="63">
        <f t="shared" si="84"/>
        <v>0</v>
      </c>
      <c r="AI106" s="79">
        <f t="shared" si="84"/>
        <v>0</v>
      </c>
    </row>
    <row r="107" spans="1:160">
      <c r="A107" s="95" t="str">
        <f>S75</f>
        <v>Anno 15</v>
      </c>
      <c r="B107" s="80" t="str">
        <f>$B101</f>
        <v>Costi di Start Up</v>
      </c>
      <c r="C107" s="81">
        <f>$C$5</f>
        <v>0.2</v>
      </c>
      <c r="D107" s="52"/>
      <c r="E107" s="78"/>
      <c r="Q107" s="64"/>
      <c r="R107" s="64"/>
      <c r="S107" s="64">
        <f>IF($D107*$C107&gt;=$D108,$D108,$D107*$C107)</f>
        <v>0</v>
      </c>
      <c r="T107" s="64">
        <f t="shared" ref="T107:AI107" si="85">IF($D107*$C107&gt;=S108,S108,$D107*$C107)</f>
        <v>0</v>
      </c>
      <c r="U107" s="64">
        <f t="shared" si="85"/>
        <v>0</v>
      </c>
      <c r="V107" s="64">
        <f t="shared" si="85"/>
        <v>0</v>
      </c>
      <c r="W107" s="64">
        <f t="shared" si="85"/>
        <v>0</v>
      </c>
      <c r="X107" s="64">
        <f t="shared" si="85"/>
        <v>0</v>
      </c>
      <c r="Y107" s="64">
        <f t="shared" si="85"/>
        <v>0</v>
      </c>
      <c r="Z107" s="64">
        <f t="shared" si="85"/>
        <v>0</v>
      </c>
      <c r="AA107" s="64">
        <f t="shared" si="85"/>
        <v>0</v>
      </c>
      <c r="AB107" s="64">
        <f t="shared" si="85"/>
        <v>0</v>
      </c>
      <c r="AC107" s="64">
        <f t="shared" si="85"/>
        <v>0</v>
      </c>
      <c r="AD107" s="64">
        <f t="shared" si="85"/>
        <v>0</v>
      </c>
      <c r="AE107" s="64">
        <f t="shared" si="85"/>
        <v>0</v>
      </c>
      <c r="AF107" s="64">
        <f t="shared" si="85"/>
        <v>0</v>
      </c>
      <c r="AG107" s="64">
        <f t="shared" si="85"/>
        <v>0</v>
      </c>
      <c r="AH107" s="64">
        <f t="shared" si="85"/>
        <v>0</v>
      </c>
      <c r="AI107" s="86">
        <f t="shared" si="85"/>
        <v>0</v>
      </c>
    </row>
    <row r="108" spans="1:160">
      <c r="A108" s="60" t="str">
        <f>S75</f>
        <v>Anno 15</v>
      </c>
      <c r="B108" s="59" t="s">
        <v>61</v>
      </c>
      <c r="C108" s="81"/>
      <c r="D108" s="52">
        <f>D107</f>
        <v>0</v>
      </c>
      <c r="E108" s="78"/>
      <c r="Q108" s="63"/>
      <c r="R108" s="63"/>
      <c r="S108" s="63">
        <f>$D108-S107</f>
        <v>0</v>
      </c>
      <c r="T108" s="63">
        <f t="shared" ref="T108:AI108" si="86">IF(S108-T107&gt;0,S108-T107,0)</f>
        <v>0</v>
      </c>
      <c r="U108" s="63">
        <f t="shared" si="86"/>
        <v>0</v>
      </c>
      <c r="V108" s="63">
        <f t="shared" si="86"/>
        <v>0</v>
      </c>
      <c r="W108" s="63">
        <f t="shared" si="86"/>
        <v>0</v>
      </c>
      <c r="X108" s="63">
        <f t="shared" si="86"/>
        <v>0</v>
      </c>
      <c r="Y108" s="63">
        <f t="shared" si="86"/>
        <v>0</v>
      </c>
      <c r="Z108" s="63">
        <f t="shared" si="86"/>
        <v>0</v>
      </c>
      <c r="AA108" s="63">
        <f t="shared" si="86"/>
        <v>0</v>
      </c>
      <c r="AB108" s="63">
        <f t="shared" si="86"/>
        <v>0</v>
      </c>
      <c r="AC108" s="63">
        <f t="shared" si="86"/>
        <v>0</v>
      </c>
      <c r="AD108" s="63">
        <f t="shared" si="86"/>
        <v>0</v>
      </c>
      <c r="AE108" s="63">
        <f t="shared" si="86"/>
        <v>0</v>
      </c>
      <c r="AF108" s="63">
        <f t="shared" si="86"/>
        <v>0</v>
      </c>
      <c r="AG108" s="63">
        <f t="shared" si="86"/>
        <v>0</v>
      </c>
      <c r="AH108" s="63">
        <f t="shared" si="86"/>
        <v>0</v>
      </c>
      <c r="AI108" s="79">
        <f t="shared" si="86"/>
        <v>0</v>
      </c>
    </row>
    <row r="109" spans="1:160">
      <c r="A109" s="95" t="str">
        <f>T75</f>
        <v>Anno 16</v>
      </c>
      <c r="B109" s="80" t="str">
        <f>$B101</f>
        <v>Costi di Start Up</v>
      </c>
      <c r="C109" s="81">
        <f>$C$5</f>
        <v>0.2</v>
      </c>
      <c r="D109" s="52"/>
      <c r="E109" s="78"/>
      <c r="Q109" s="64"/>
      <c r="R109" s="64"/>
      <c r="S109" s="64"/>
      <c r="T109" s="64">
        <f>IF($D109*$C109&gt;=$D110,$D110,$D109*$C109)</f>
        <v>0</v>
      </c>
      <c r="U109" s="64">
        <f t="shared" ref="U109:AI109" si="87">IF($D109*$C109&gt;=T110,T110,$D109*$C109)</f>
        <v>0</v>
      </c>
      <c r="V109" s="64">
        <f t="shared" si="87"/>
        <v>0</v>
      </c>
      <c r="W109" s="64">
        <f t="shared" si="87"/>
        <v>0</v>
      </c>
      <c r="X109" s="64">
        <f t="shared" si="87"/>
        <v>0</v>
      </c>
      <c r="Y109" s="64">
        <f t="shared" si="87"/>
        <v>0</v>
      </c>
      <c r="Z109" s="64">
        <f t="shared" si="87"/>
        <v>0</v>
      </c>
      <c r="AA109" s="64">
        <f t="shared" si="87"/>
        <v>0</v>
      </c>
      <c r="AB109" s="64">
        <f t="shared" si="87"/>
        <v>0</v>
      </c>
      <c r="AC109" s="64">
        <f t="shared" si="87"/>
        <v>0</v>
      </c>
      <c r="AD109" s="64">
        <f t="shared" si="87"/>
        <v>0</v>
      </c>
      <c r="AE109" s="64">
        <f t="shared" si="87"/>
        <v>0</v>
      </c>
      <c r="AF109" s="64">
        <f t="shared" si="87"/>
        <v>0</v>
      </c>
      <c r="AG109" s="64">
        <f t="shared" si="87"/>
        <v>0</v>
      </c>
      <c r="AH109" s="64">
        <f t="shared" si="87"/>
        <v>0</v>
      </c>
      <c r="AI109" s="86">
        <f t="shared" si="87"/>
        <v>0</v>
      </c>
    </row>
    <row r="110" spans="1:160">
      <c r="A110" s="60" t="str">
        <f>T75</f>
        <v>Anno 16</v>
      </c>
      <c r="B110" s="59" t="s">
        <v>61</v>
      </c>
      <c r="C110" s="81"/>
      <c r="D110" s="52">
        <f>D109</f>
        <v>0</v>
      </c>
      <c r="E110" s="78"/>
      <c r="Q110" s="63"/>
      <c r="R110" s="63"/>
      <c r="S110" s="63"/>
      <c r="T110" s="63">
        <f>$D110-T109</f>
        <v>0</v>
      </c>
      <c r="U110" s="63">
        <f t="shared" ref="U110:AI110" si="88">IF(T110-U109&gt;0,T110-U109,0)</f>
        <v>0</v>
      </c>
      <c r="V110" s="63">
        <f t="shared" si="88"/>
        <v>0</v>
      </c>
      <c r="W110" s="63">
        <f t="shared" si="88"/>
        <v>0</v>
      </c>
      <c r="X110" s="63">
        <f t="shared" si="88"/>
        <v>0</v>
      </c>
      <c r="Y110" s="63">
        <f t="shared" si="88"/>
        <v>0</v>
      </c>
      <c r="Z110" s="63">
        <f t="shared" si="88"/>
        <v>0</v>
      </c>
      <c r="AA110" s="63">
        <f t="shared" si="88"/>
        <v>0</v>
      </c>
      <c r="AB110" s="63">
        <f t="shared" si="88"/>
        <v>0</v>
      </c>
      <c r="AC110" s="63">
        <f t="shared" si="88"/>
        <v>0</v>
      </c>
      <c r="AD110" s="63">
        <f t="shared" si="88"/>
        <v>0</v>
      </c>
      <c r="AE110" s="63">
        <f t="shared" si="88"/>
        <v>0</v>
      </c>
      <c r="AF110" s="63">
        <f t="shared" si="88"/>
        <v>0</v>
      </c>
      <c r="AG110" s="63">
        <f t="shared" si="88"/>
        <v>0</v>
      </c>
      <c r="AH110" s="63">
        <f t="shared" si="88"/>
        <v>0</v>
      </c>
      <c r="AI110" s="79">
        <f t="shared" si="88"/>
        <v>0</v>
      </c>
    </row>
    <row r="111" spans="1:160">
      <c r="A111" s="95" t="str">
        <f>U75</f>
        <v>Anno 17</v>
      </c>
      <c r="B111" s="80" t="str">
        <f>$B101</f>
        <v>Costi di Start Up</v>
      </c>
      <c r="C111" s="81">
        <f>$C$5</f>
        <v>0.2</v>
      </c>
      <c r="D111" s="52"/>
      <c r="E111" s="78"/>
      <c r="Q111" s="64"/>
      <c r="R111" s="64"/>
      <c r="S111" s="64"/>
      <c r="T111" s="64"/>
      <c r="U111" s="64">
        <f>IF($D111*$C111&gt;=$D112,$D112,$D111*$C111)</f>
        <v>0</v>
      </c>
      <c r="V111" s="64">
        <f t="shared" ref="V111:AI111" si="89">IF($D111*$C111&gt;=U112,U112,$D111*$C111)</f>
        <v>0</v>
      </c>
      <c r="W111" s="64">
        <f t="shared" si="89"/>
        <v>0</v>
      </c>
      <c r="X111" s="64">
        <f t="shared" si="89"/>
        <v>0</v>
      </c>
      <c r="Y111" s="64">
        <f t="shared" si="89"/>
        <v>0</v>
      </c>
      <c r="Z111" s="64">
        <f t="shared" si="89"/>
        <v>0</v>
      </c>
      <c r="AA111" s="64">
        <f t="shared" si="89"/>
        <v>0</v>
      </c>
      <c r="AB111" s="64">
        <f t="shared" si="89"/>
        <v>0</v>
      </c>
      <c r="AC111" s="64">
        <f t="shared" si="89"/>
        <v>0</v>
      </c>
      <c r="AD111" s="64">
        <f t="shared" si="89"/>
        <v>0</v>
      </c>
      <c r="AE111" s="64">
        <f t="shared" si="89"/>
        <v>0</v>
      </c>
      <c r="AF111" s="64">
        <f t="shared" si="89"/>
        <v>0</v>
      </c>
      <c r="AG111" s="64">
        <f t="shared" si="89"/>
        <v>0</v>
      </c>
      <c r="AH111" s="64">
        <f t="shared" si="89"/>
        <v>0</v>
      </c>
      <c r="AI111" s="86">
        <f t="shared" si="89"/>
        <v>0</v>
      </c>
    </row>
    <row r="112" spans="1:160">
      <c r="A112" s="60" t="str">
        <f>U75</f>
        <v>Anno 17</v>
      </c>
      <c r="B112" s="59" t="s">
        <v>61</v>
      </c>
      <c r="C112" s="81"/>
      <c r="D112" s="52">
        <f>D111</f>
        <v>0</v>
      </c>
      <c r="E112" s="78"/>
      <c r="Q112" s="63"/>
      <c r="R112" s="63"/>
      <c r="S112" s="63"/>
      <c r="T112" s="63"/>
      <c r="U112" s="63">
        <f>$D112-U111</f>
        <v>0</v>
      </c>
      <c r="V112" s="63">
        <f t="shared" ref="V112:AI112" si="90">IF(U112-V111&gt;0,U112-V111,0)</f>
        <v>0</v>
      </c>
      <c r="W112" s="63">
        <f t="shared" si="90"/>
        <v>0</v>
      </c>
      <c r="X112" s="63">
        <f t="shared" si="90"/>
        <v>0</v>
      </c>
      <c r="Y112" s="63">
        <f t="shared" si="90"/>
        <v>0</v>
      </c>
      <c r="Z112" s="63">
        <f t="shared" si="90"/>
        <v>0</v>
      </c>
      <c r="AA112" s="63">
        <f t="shared" si="90"/>
        <v>0</v>
      </c>
      <c r="AB112" s="63">
        <f t="shared" si="90"/>
        <v>0</v>
      </c>
      <c r="AC112" s="63">
        <f t="shared" si="90"/>
        <v>0</v>
      </c>
      <c r="AD112" s="63">
        <f t="shared" si="90"/>
        <v>0</v>
      </c>
      <c r="AE112" s="63">
        <f t="shared" si="90"/>
        <v>0</v>
      </c>
      <c r="AF112" s="63">
        <f t="shared" si="90"/>
        <v>0</v>
      </c>
      <c r="AG112" s="63">
        <f t="shared" si="90"/>
        <v>0</v>
      </c>
      <c r="AH112" s="63">
        <f t="shared" si="90"/>
        <v>0</v>
      </c>
      <c r="AI112" s="79">
        <f t="shared" si="90"/>
        <v>0</v>
      </c>
    </row>
    <row r="113" spans="1:35">
      <c r="A113" s="95" t="str">
        <f>V75</f>
        <v>Anno 18</v>
      </c>
      <c r="B113" s="80" t="str">
        <f>$B101</f>
        <v>Costi di Start Up</v>
      </c>
      <c r="C113" s="81">
        <f>$C$5</f>
        <v>0.2</v>
      </c>
      <c r="D113" s="52"/>
      <c r="E113" s="78"/>
      <c r="Q113" s="64"/>
      <c r="R113" s="64"/>
      <c r="S113" s="64"/>
      <c r="T113" s="64"/>
      <c r="U113" s="64"/>
      <c r="V113" s="64">
        <f>IF($D113*$C113&gt;=$D114,$D114,$D113*$C113)</f>
        <v>0</v>
      </c>
      <c r="W113" s="64">
        <f t="shared" ref="W113:AI113" si="91">IF($D113*$C113&gt;=V114,V114,$D113*$C113)</f>
        <v>0</v>
      </c>
      <c r="X113" s="64">
        <f t="shared" si="91"/>
        <v>0</v>
      </c>
      <c r="Y113" s="64">
        <f t="shared" si="91"/>
        <v>0</v>
      </c>
      <c r="Z113" s="64">
        <f t="shared" si="91"/>
        <v>0</v>
      </c>
      <c r="AA113" s="64">
        <f t="shared" si="91"/>
        <v>0</v>
      </c>
      <c r="AB113" s="64">
        <f t="shared" si="91"/>
        <v>0</v>
      </c>
      <c r="AC113" s="64">
        <f t="shared" si="91"/>
        <v>0</v>
      </c>
      <c r="AD113" s="64">
        <f t="shared" si="91"/>
        <v>0</v>
      </c>
      <c r="AE113" s="64">
        <f t="shared" si="91"/>
        <v>0</v>
      </c>
      <c r="AF113" s="64">
        <f t="shared" si="91"/>
        <v>0</v>
      </c>
      <c r="AG113" s="64">
        <f t="shared" si="91"/>
        <v>0</v>
      </c>
      <c r="AH113" s="64">
        <f t="shared" si="91"/>
        <v>0</v>
      </c>
      <c r="AI113" s="86">
        <f t="shared" si="91"/>
        <v>0</v>
      </c>
    </row>
    <row r="114" spans="1:35">
      <c r="A114" s="60" t="str">
        <f>V75</f>
        <v>Anno 18</v>
      </c>
      <c r="B114" s="59" t="s">
        <v>61</v>
      </c>
      <c r="C114" s="81"/>
      <c r="D114" s="52">
        <f>D113</f>
        <v>0</v>
      </c>
      <c r="E114" s="78"/>
      <c r="Q114" s="63"/>
      <c r="R114" s="63"/>
      <c r="S114" s="63"/>
      <c r="T114" s="63"/>
      <c r="U114" s="63"/>
      <c r="V114" s="63">
        <f>$D114-V113</f>
        <v>0</v>
      </c>
      <c r="W114" s="63">
        <f t="shared" ref="W114:AI114" si="92">IF(V114-W113&gt;0,V114-W113,0)</f>
        <v>0</v>
      </c>
      <c r="X114" s="63">
        <f t="shared" si="92"/>
        <v>0</v>
      </c>
      <c r="Y114" s="63">
        <f t="shared" si="92"/>
        <v>0</v>
      </c>
      <c r="Z114" s="63">
        <f t="shared" si="92"/>
        <v>0</v>
      </c>
      <c r="AA114" s="63">
        <f t="shared" si="92"/>
        <v>0</v>
      </c>
      <c r="AB114" s="63">
        <f t="shared" si="92"/>
        <v>0</v>
      </c>
      <c r="AC114" s="63">
        <f t="shared" si="92"/>
        <v>0</v>
      </c>
      <c r="AD114" s="63">
        <f t="shared" si="92"/>
        <v>0</v>
      </c>
      <c r="AE114" s="63">
        <f t="shared" si="92"/>
        <v>0</v>
      </c>
      <c r="AF114" s="63">
        <f t="shared" si="92"/>
        <v>0</v>
      </c>
      <c r="AG114" s="63">
        <f t="shared" si="92"/>
        <v>0</v>
      </c>
      <c r="AH114" s="63">
        <f t="shared" si="92"/>
        <v>0</v>
      </c>
      <c r="AI114" s="79">
        <f t="shared" si="92"/>
        <v>0</v>
      </c>
    </row>
    <row r="115" spans="1:35">
      <c r="A115" s="95" t="str">
        <f>W75</f>
        <v>Anno 19</v>
      </c>
      <c r="B115" s="80" t="str">
        <f>$B101</f>
        <v>Costi di Start Up</v>
      </c>
      <c r="C115" s="81">
        <f>$C$5</f>
        <v>0.2</v>
      </c>
      <c r="D115" s="52"/>
      <c r="E115" s="78"/>
      <c r="Q115" s="64"/>
      <c r="R115" s="64"/>
      <c r="S115" s="64"/>
      <c r="T115" s="64"/>
      <c r="U115" s="64"/>
      <c r="V115" s="87"/>
      <c r="W115" s="64">
        <f>IF($D115*$C115&gt;=$D116,$D116,$D115*$C115)</f>
        <v>0</v>
      </c>
      <c r="X115" s="64">
        <f t="shared" ref="X115:AI115" si="93">IF($D115*$C115&gt;=W116,W116,$D115*$C115)</f>
        <v>0</v>
      </c>
      <c r="Y115" s="64">
        <f t="shared" si="93"/>
        <v>0</v>
      </c>
      <c r="Z115" s="64">
        <f t="shared" si="93"/>
        <v>0</v>
      </c>
      <c r="AA115" s="64">
        <f t="shared" si="93"/>
        <v>0</v>
      </c>
      <c r="AB115" s="64">
        <f t="shared" si="93"/>
        <v>0</v>
      </c>
      <c r="AC115" s="64">
        <f t="shared" si="93"/>
        <v>0</v>
      </c>
      <c r="AD115" s="64">
        <f t="shared" si="93"/>
        <v>0</v>
      </c>
      <c r="AE115" s="64">
        <f t="shared" si="93"/>
        <v>0</v>
      </c>
      <c r="AF115" s="64">
        <f t="shared" si="93"/>
        <v>0</v>
      </c>
      <c r="AG115" s="64">
        <f t="shared" si="93"/>
        <v>0</v>
      </c>
      <c r="AH115" s="64">
        <f t="shared" si="93"/>
        <v>0</v>
      </c>
      <c r="AI115" s="86">
        <f t="shared" si="93"/>
        <v>0</v>
      </c>
    </row>
    <row r="116" spans="1:35">
      <c r="A116" s="60" t="str">
        <f>W75</f>
        <v>Anno 19</v>
      </c>
      <c r="B116" s="59" t="s">
        <v>61</v>
      </c>
      <c r="C116" s="81"/>
      <c r="D116" s="52">
        <f>D115</f>
        <v>0</v>
      </c>
      <c r="E116" s="78"/>
      <c r="Q116" s="63"/>
      <c r="R116" s="63"/>
      <c r="S116" s="63"/>
      <c r="T116" s="63"/>
      <c r="U116" s="63"/>
      <c r="V116" s="66"/>
      <c r="W116" s="63">
        <f>$D116-W115</f>
        <v>0</v>
      </c>
      <c r="X116" s="63">
        <f t="shared" ref="X116:AI116" si="94">IF(W116-X115&gt;0,W116-X115,0)</f>
        <v>0</v>
      </c>
      <c r="Y116" s="63">
        <f t="shared" si="94"/>
        <v>0</v>
      </c>
      <c r="Z116" s="63">
        <f t="shared" si="94"/>
        <v>0</v>
      </c>
      <c r="AA116" s="63">
        <f t="shared" si="94"/>
        <v>0</v>
      </c>
      <c r="AB116" s="63">
        <f t="shared" si="94"/>
        <v>0</v>
      </c>
      <c r="AC116" s="63">
        <f t="shared" si="94"/>
        <v>0</v>
      </c>
      <c r="AD116" s="63">
        <f t="shared" si="94"/>
        <v>0</v>
      </c>
      <c r="AE116" s="63">
        <f t="shared" si="94"/>
        <v>0</v>
      </c>
      <c r="AF116" s="63">
        <f t="shared" si="94"/>
        <v>0</v>
      </c>
      <c r="AG116" s="63">
        <f t="shared" si="94"/>
        <v>0</v>
      </c>
      <c r="AH116" s="63">
        <f t="shared" si="94"/>
        <v>0</v>
      </c>
      <c r="AI116" s="79">
        <f t="shared" si="94"/>
        <v>0</v>
      </c>
    </row>
    <row r="117" spans="1:35">
      <c r="A117" s="95" t="str">
        <f>X75</f>
        <v>Anno 20</v>
      </c>
      <c r="B117" s="80" t="str">
        <f>$B101</f>
        <v>Costi di Start Up</v>
      </c>
      <c r="C117" s="81">
        <f>$C$5</f>
        <v>0.2</v>
      </c>
      <c r="D117" s="52"/>
      <c r="E117" s="78"/>
      <c r="Q117" s="64"/>
      <c r="R117" s="64"/>
      <c r="S117" s="64"/>
      <c r="T117" s="64"/>
      <c r="U117" s="64"/>
      <c r="V117" s="87"/>
      <c r="W117" s="87"/>
      <c r="X117" s="64">
        <f>IF($D117*$C117&gt;=$D118,$D118,$D117*$C117)</f>
        <v>0</v>
      </c>
      <c r="Y117" s="64">
        <f t="shared" ref="Y117:AI117" si="95">IF($D117*$C117&gt;=X118,X118,$D117*$C117)</f>
        <v>0</v>
      </c>
      <c r="Z117" s="64">
        <f t="shared" si="95"/>
        <v>0</v>
      </c>
      <c r="AA117" s="64">
        <f t="shared" si="95"/>
        <v>0</v>
      </c>
      <c r="AB117" s="64">
        <f t="shared" si="95"/>
        <v>0</v>
      </c>
      <c r="AC117" s="64">
        <f t="shared" si="95"/>
        <v>0</v>
      </c>
      <c r="AD117" s="64">
        <f t="shared" si="95"/>
        <v>0</v>
      </c>
      <c r="AE117" s="64">
        <f t="shared" si="95"/>
        <v>0</v>
      </c>
      <c r="AF117" s="64">
        <f t="shared" si="95"/>
        <v>0</v>
      </c>
      <c r="AG117" s="64">
        <f t="shared" si="95"/>
        <v>0</v>
      </c>
      <c r="AH117" s="64">
        <f t="shared" si="95"/>
        <v>0</v>
      </c>
      <c r="AI117" s="86">
        <f t="shared" si="95"/>
        <v>0</v>
      </c>
    </row>
    <row r="118" spans="1:35">
      <c r="A118" s="60" t="str">
        <f>X75</f>
        <v>Anno 20</v>
      </c>
      <c r="B118" s="59" t="s">
        <v>61</v>
      </c>
      <c r="C118" s="81"/>
      <c r="D118" s="52">
        <f>D117</f>
        <v>0</v>
      </c>
      <c r="E118" s="78"/>
      <c r="Q118" s="63"/>
      <c r="R118" s="63"/>
      <c r="S118" s="63"/>
      <c r="T118" s="63"/>
      <c r="U118" s="63"/>
      <c r="V118" s="66"/>
      <c r="W118" s="66"/>
      <c r="X118" s="63">
        <f>$D118-X117</f>
        <v>0</v>
      </c>
      <c r="Y118" s="63">
        <f t="shared" ref="Y118:AI118" si="96">IF(X118-Y117&gt;0,X118-Y117,0)</f>
        <v>0</v>
      </c>
      <c r="Z118" s="63">
        <f t="shared" si="96"/>
        <v>0</v>
      </c>
      <c r="AA118" s="63">
        <f t="shared" si="96"/>
        <v>0</v>
      </c>
      <c r="AB118" s="63">
        <f t="shared" si="96"/>
        <v>0</v>
      </c>
      <c r="AC118" s="63">
        <f t="shared" si="96"/>
        <v>0</v>
      </c>
      <c r="AD118" s="63">
        <f t="shared" si="96"/>
        <v>0</v>
      </c>
      <c r="AE118" s="63">
        <f t="shared" si="96"/>
        <v>0</v>
      </c>
      <c r="AF118" s="63">
        <f t="shared" si="96"/>
        <v>0</v>
      </c>
      <c r="AG118" s="63">
        <f t="shared" si="96"/>
        <v>0</v>
      </c>
      <c r="AH118" s="63">
        <f t="shared" si="96"/>
        <v>0</v>
      </c>
      <c r="AI118" s="79">
        <f t="shared" si="96"/>
        <v>0</v>
      </c>
    </row>
    <row r="119" spans="1:35">
      <c r="A119" s="95" t="str">
        <f>Y75</f>
        <v>Anno 21</v>
      </c>
      <c r="B119" s="80" t="str">
        <f>$B101</f>
        <v>Costi di Start Up</v>
      </c>
      <c r="C119" s="81">
        <f>$C$5</f>
        <v>0.2</v>
      </c>
      <c r="D119" s="52"/>
      <c r="E119" s="78"/>
      <c r="Q119" s="64"/>
      <c r="R119" s="64"/>
      <c r="S119" s="64"/>
      <c r="T119" s="64"/>
      <c r="U119" s="64"/>
      <c r="V119" s="87"/>
      <c r="W119" s="87"/>
      <c r="X119" s="87"/>
      <c r="Y119" s="64">
        <f>IF($D119*$C119&gt;=$D120,$D120,$D119*$C119)</f>
        <v>0</v>
      </c>
      <c r="Z119" s="64">
        <f t="shared" ref="Z119:AI119" si="97">IF($D119*$C119&gt;=Y120,Y120,$D119*$C119)</f>
        <v>0</v>
      </c>
      <c r="AA119" s="64">
        <f t="shared" si="97"/>
        <v>0</v>
      </c>
      <c r="AB119" s="64">
        <f t="shared" si="97"/>
        <v>0</v>
      </c>
      <c r="AC119" s="64">
        <f t="shared" si="97"/>
        <v>0</v>
      </c>
      <c r="AD119" s="64">
        <f t="shared" si="97"/>
        <v>0</v>
      </c>
      <c r="AE119" s="64">
        <f t="shared" si="97"/>
        <v>0</v>
      </c>
      <c r="AF119" s="64">
        <f t="shared" si="97"/>
        <v>0</v>
      </c>
      <c r="AG119" s="64">
        <f t="shared" si="97"/>
        <v>0</v>
      </c>
      <c r="AH119" s="64">
        <f t="shared" si="97"/>
        <v>0</v>
      </c>
      <c r="AI119" s="86">
        <f t="shared" si="97"/>
        <v>0</v>
      </c>
    </row>
    <row r="120" spans="1:35">
      <c r="A120" s="60" t="str">
        <f>Y75</f>
        <v>Anno 21</v>
      </c>
      <c r="B120" s="59" t="s">
        <v>61</v>
      </c>
      <c r="C120" s="81"/>
      <c r="D120" s="52">
        <f>D119</f>
        <v>0</v>
      </c>
      <c r="E120" s="78"/>
      <c r="Q120" s="63"/>
      <c r="R120" s="63"/>
      <c r="S120" s="63"/>
      <c r="T120" s="63"/>
      <c r="U120" s="63"/>
      <c r="V120" s="66"/>
      <c r="W120" s="66"/>
      <c r="X120" s="66"/>
      <c r="Y120" s="63">
        <f>$D120-Y119</f>
        <v>0</v>
      </c>
      <c r="Z120" s="63">
        <f t="shared" ref="Z120:AI120" si="98">IF(Y120-Z119&gt;0,Y120-Z119,0)</f>
        <v>0</v>
      </c>
      <c r="AA120" s="63">
        <f t="shared" si="98"/>
        <v>0</v>
      </c>
      <c r="AB120" s="63">
        <f t="shared" si="98"/>
        <v>0</v>
      </c>
      <c r="AC120" s="63">
        <f t="shared" si="98"/>
        <v>0</v>
      </c>
      <c r="AD120" s="63">
        <f t="shared" si="98"/>
        <v>0</v>
      </c>
      <c r="AE120" s="63">
        <f t="shared" si="98"/>
        <v>0</v>
      </c>
      <c r="AF120" s="63">
        <f t="shared" si="98"/>
        <v>0</v>
      </c>
      <c r="AG120" s="63">
        <f t="shared" si="98"/>
        <v>0</v>
      </c>
      <c r="AH120" s="63">
        <f t="shared" si="98"/>
        <v>0</v>
      </c>
      <c r="AI120" s="79">
        <f t="shared" si="98"/>
        <v>0</v>
      </c>
    </row>
    <row r="121" spans="1:35">
      <c r="A121" s="95" t="str">
        <f>Z75</f>
        <v>Anno 22</v>
      </c>
      <c r="B121" s="80" t="str">
        <f>$B101</f>
        <v>Costi di Start Up</v>
      </c>
      <c r="C121" s="81">
        <f>$C$5</f>
        <v>0.2</v>
      </c>
      <c r="D121" s="52"/>
      <c r="E121" s="78"/>
      <c r="Q121" s="64"/>
      <c r="R121" s="64"/>
      <c r="S121" s="64"/>
      <c r="T121" s="64"/>
      <c r="U121" s="64"/>
      <c r="V121" s="87"/>
      <c r="W121" s="87"/>
      <c r="X121" s="87"/>
      <c r="Y121" s="87"/>
      <c r="Z121" s="64">
        <f>IF($D121*$C121&gt;=$D122,$D122,$D121*$C121)</f>
        <v>0</v>
      </c>
      <c r="AA121" s="64">
        <f t="shared" ref="AA121:AI121" si="99">IF($D121*$C121&gt;=Z122,Z122,$D121*$C121)</f>
        <v>0</v>
      </c>
      <c r="AB121" s="64">
        <f t="shared" si="99"/>
        <v>0</v>
      </c>
      <c r="AC121" s="64">
        <f t="shared" si="99"/>
        <v>0</v>
      </c>
      <c r="AD121" s="64">
        <f t="shared" si="99"/>
        <v>0</v>
      </c>
      <c r="AE121" s="64">
        <f t="shared" si="99"/>
        <v>0</v>
      </c>
      <c r="AF121" s="64">
        <f t="shared" si="99"/>
        <v>0</v>
      </c>
      <c r="AG121" s="64">
        <f t="shared" si="99"/>
        <v>0</v>
      </c>
      <c r="AH121" s="64">
        <f t="shared" si="99"/>
        <v>0</v>
      </c>
      <c r="AI121" s="86">
        <f t="shared" si="99"/>
        <v>0</v>
      </c>
    </row>
    <row r="122" spans="1:35">
      <c r="A122" s="60" t="str">
        <f>Z75</f>
        <v>Anno 22</v>
      </c>
      <c r="B122" s="59" t="s">
        <v>61</v>
      </c>
      <c r="C122" s="81"/>
      <c r="D122" s="52">
        <f>D121</f>
        <v>0</v>
      </c>
      <c r="E122" s="78"/>
      <c r="Q122" s="63"/>
      <c r="R122" s="63"/>
      <c r="S122" s="63"/>
      <c r="T122" s="63"/>
      <c r="U122" s="63"/>
      <c r="V122" s="66"/>
      <c r="W122" s="66"/>
      <c r="X122" s="66"/>
      <c r="Y122" s="66"/>
      <c r="Z122" s="63">
        <f>$D122-Z121</f>
        <v>0</v>
      </c>
      <c r="AA122" s="63">
        <f t="shared" ref="AA122:AI122" si="100">IF(Z122-AA121&gt;0,Z122-AA121,0)</f>
        <v>0</v>
      </c>
      <c r="AB122" s="63">
        <f t="shared" si="100"/>
        <v>0</v>
      </c>
      <c r="AC122" s="63">
        <f t="shared" si="100"/>
        <v>0</v>
      </c>
      <c r="AD122" s="63">
        <f t="shared" si="100"/>
        <v>0</v>
      </c>
      <c r="AE122" s="63">
        <f t="shared" si="100"/>
        <v>0</v>
      </c>
      <c r="AF122" s="63">
        <f t="shared" si="100"/>
        <v>0</v>
      </c>
      <c r="AG122" s="63">
        <f t="shared" si="100"/>
        <v>0</v>
      </c>
      <c r="AH122" s="63">
        <f t="shared" si="100"/>
        <v>0</v>
      </c>
      <c r="AI122" s="79">
        <f t="shared" si="100"/>
        <v>0</v>
      </c>
    </row>
    <row r="123" spans="1:35">
      <c r="A123" s="95" t="str">
        <f>AA75</f>
        <v>Anno 23</v>
      </c>
      <c r="B123" s="80" t="str">
        <f>$B101</f>
        <v>Costi di Start Up</v>
      </c>
      <c r="C123" s="81">
        <f>$C$5</f>
        <v>0.2</v>
      </c>
      <c r="D123" s="52"/>
      <c r="E123" s="78"/>
      <c r="Q123" s="64"/>
      <c r="R123" s="64"/>
      <c r="S123" s="64"/>
      <c r="T123" s="64"/>
      <c r="U123" s="64"/>
      <c r="V123" s="87"/>
      <c r="W123" s="87"/>
      <c r="X123" s="87"/>
      <c r="Y123" s="87"/>
      <c r="Z123" s="87"/>
      <c r="AA123" s="64">
        <f>IF($D123*$C123&gt;=$D124,$D124,$D123*$C123)</f>
        <v>0</v>
      </c>
      <c r="AB123" s="64">
        <f t="shared" ref="AB123:AI123" si="101">IF($D123*$C123&gt;=AA124,AA124,$D123*$C123)</f>
        <v>0</v>
      </c>
      <c r="AC123" s="64">
        <f t="shared" si="101"/>
        <v>0</v>
      </c>
      <c r="AD123" s="64">
        <f t="shared" si="101"/>
        <v>0</v>
      </c>
      <c r="AE123" s="64">
        <f t="shared" si="101"/>
        <v>0</v>
      </c>
      <c r="AF123" s="64">
        <f t="shared" si="101"/>
        <v>0</v>
      </c>
      <c r="AG123" s="64">
        <f t="shared" si="101"/>
        <v>0</v>
      </c>
      <c r="AH123" s="64">
        <f t="shared" si="101"/>
        <v>0</v>
      </c>
      <c r="AI123" s="86">
        <f t="shared" si="101"/>
        <v>0</v>
      </c>
    </row>
    <row r="124" spans="1:35">
      <c r="A124" s="60" t="str">
        <f>AA75</f>
        <v>Anno 23</v>
      </c>
      <c r="B124" s="59" t="s">
        <v>61</v>
      </c>
      <c r="C124" s="81"/>
      <c r="D124" s="52">
        <f>D123</f>
        <v>0</v>
      </c>
      <c r="E124" s="78"/>
      <c r="Q124" s="63"/>
      <c r="R124" s="63"/>
      <c r="S124" s="63"/>
      <c r="T124" s="63"/>
      <c r="U124" s="63"/>
      <c r="V124" s="66"/>
      <c r="W124" s="66"/>
      <c r="X124" s="66"/>
      <c r="Y124" s="66"/>
      <c r="Z124" s="66"/>
      <c r="AA124" s="63">
        <f>$D124-AA123</f>
        <v>0</v>
      </c>
      <c r="AB124" s="63">
        <f t="shared" ref="AB124:AI124" si="102">IF(AA124-AB123&gt;0,AA124-AB123,0)</f>
        <v>0</v>
      </c>
      <c r="AC124" s="63">
        <f t="shared" si="102"/>
        <v>0</v>
      </c>
      <c r="AD124" s="63">
        <f t="shared" si="102"/>
        <v>0</v>
      </c>
      <c r="AE124" s="63">
        <f t="shared" si="102"/>
        <v>0</v>
      </c>
      <c r="AF124" s="63">
        <f t="shared" si="102"/>
        <v>0</v>
      </c>
      <c r="AG124" s="63">
        <f t="shared" si="102"/>
        <v>0</v>
      </c>
      <c r="AH124" s="63">
        <f t="shared" si="102"/>
        <v>0</v>
      </c>
      <c r="AI124" s="79">
        <f t="shared" si="102"/>
        <v>0</v>
      </c>
    </row>
    <row r="125" spans="1:35">
      <c r="A125" s="95" t="str">
        <f>AB75</f>
        <v>Anno 24</v>
      </c>
      <c r="B125" s="80" t="str">
        <f>$B101</f>
        <v>Costi di Start Up</v>
      </c>
      <c r="C125" s="81">
        <f>$C$5</f>
        <v>0.2</v>
      </c>
      <c r="D125" s="52"/>
      <c r="E125" s="78"/>
      <c r="Q125" s="64"/>
      <c r="R125" s="64"/>
      <c r="S125" s="64"/>
      <c r="T125" s="64"/>
      <c r="U125" s="64"/>
      <c r="V125" s="87"/>
      <c r="W125" s="87"/>
      <c r="X125" s="87"/>
      <c r="Y125" s="87"/>
      <c r="Z125" s="87"/>
      <c r="AA125" s="87"/>
      <c r="AB125" s="64">
        <f>IF($D125*$C125&gt;=$D126,$D126,$D125*$C125)</f>
        <v>0</v>
      </c>
      <c r="AC125" s="64">
        <f t="shared" ref="AC125:AI125" si="103">IF($D125*$C125&gt;=AB126,AB126,$D125*$C125)</f>
        <v>0</v>
      </c>
      <c r="AD125" s="64">
        <f t="shared" si="103"/>
        <v>0</v>
      </c>
      <c r="AE125" s="64">
        <f t="shared" si="103"/>
        <v>0</v>
      </c>
      <c r="AF125" s="64">
        <f t="shared" si="103"/>
        <v>0</v>
      </c>
      <c r="AG125" s="64">
        <f t="shared" si="103"/>
        <v>0</v>
      </c>
      <c r="AH125" s="64">
        <f t="shared" si="103"/>
        <v>0</v>
      </c>
      <c r="AI125" s="86">
        <f t="shared" si="103"/>
        <v>0</v>
      </c>
    </row>
    <row r="126" spans="1:35">
      <c r="A126" s="60" t="str">
        <f>AB75</f>
        <v>Anno 24</v>
      </c>
      <c r="B126" s="59" t="s">
        <v>61</v>
      </c>
      <c r="C126" s="88"/>
      <c r="D126" s="52">
        <f>D125</f>
        <v>0</v>
      </c>
      <c r="E126" s="78"/>
      <c r="Q126" s="63"/>
      <c r="R126" s="63"/>
      <c r="S126" s="63"/>
      <c r="T126" s="63"/>
      <c r="U126" s="63"/>
      <c r="V126" s="66"/>
      <c r="W126" s="66"/>
      <c r="X126" s="66"/>
      <c r="Y126" s="66"/>
      <c r="Z126" s="66"/>
      <c r="AA126" s="66"/>
      <c r="AB126" s="63">
        <f>$D126-AB125</f>
        <v>0</v>
      </c>
      <c r="AC126" s="63">
        <f t="shared" ref="AC126:AI126" si="104">IF(AB126-AC125&gt;0,AB126-AC125,0)</f>
        <v>0</v>
      </c>
      <c r="AD126" s="63">
        <f t="shared" si="104"/>
        <v>0</v>
      </c>
      <c r="AE126" s="63">
        <f t="shared" si="104"/>
        <v>0</v>
      </c>
      <c r="AF126" s="63">
        <f t="shared" si="104"/>
        <v>0</v>
      </c>
      <c r="AG126" s="63">
        <f t="shared" si="104"/>
        <v>0</v>
      </c>
      <c r="AH126" s="63">
        <f t="shared" si="104"/>
        <v>0</v>
      </c>
      <c r="AI126" s="79">
        <f t="shared" si="104"/>
        <v>0</v>
      </c>
    </row>
    <row r="127" spans="1:35">
      <c r="A127" s="95" t="str">
        <f>AC75</f>
        <v>Anno 25</v>
      </c>
      <c r="B127" s="80" t="str">
        <f>$B125</f>
        <v>Costi di Start Up</v>
      </c>
      <c r="C127" s="81">
        <f>$C$5</f>
        <v>0.2</v>
      </c>
      <c r="D127" s="52"/>
      <c r="E127" s="78"/>
      <c r="AC127" s="64">
        <f>IF($D127*$C127&gt;=$D128,$D128,$D127*$C127)</f>
        <v>0</v>
      </c>
      <c r="AD127" s="64">
        <f t="shared" ref="AD127:AI127" si="105">IF($D127*$C127&gt;=AC128,AC128,$D127*$C127)</f>
        <v>0</v>
      </c>
      <c r="AE127" s="64">
        <f t="shared" si="105"/>
        <v>0</v>
      </c>
      <c r="AF127" s="64">
        <f t="shared" si="105"/>
        <v>0</v>
      </c>
      <c r="AG127" s="64">
        <f t="shared" si="105"/>
        <v>0</v>
      </c>
      <c r="AH127" s="64">
        <f t="shared" si="105"/>
        <v>0</v>
      </c>
      <c r="AI127" s="86">
        <f t="shared" si="105"/>
        <v>0</v>
      </c>
    </row>
    <row r="128" spans="1:35">
      <c r="A128" s="60" t="str">
        <f>AC75</f>
        <v>Anno 25</v>
      </c>
      <c r="B128" s="59" t="s">
        <v>61</v>
      </c>
      <c r="C128" s="81"/>
      <c r="D128" s="52">
        <f>D127</f>
        <v>0</v>
      </c>
      <c r="E128" s="78"/>
      <c r="AC128" s="63">
        <f>$D128-AC127</f>
        <v>0</v>
      </c>
      <c r="AD128" s="63">
        <f t="shared" ref="AD128:AI128" si="106">IF(AC128-AD127&gt;0,AC128-AD127,0)</f>
        <v>0</v>
      </c>
      <c r="AE128" s="63">
        <f t="shared" si="106"/>
        <v>0</v>
      </c>
      <c r="AF128" s="63">
        <f t="shared" si="106"/>
        <v>0</v>
      </c>
      <c r="AG128" s="63">
        <f t="shared" si="106"/>
        <v>0</v>
      </c>
      <c r="AH128" s="63">
        <f t="shared" si="106"/>
        <v>0</v>
      </c>
      <c r="AI128" s="79">
        <f t="shared" si="106"/>
        <v>0</v>
      </c>
    </row>
    <row r="129" spans="1:36">
      <c r="A129" s="95" t="str">
        <f>AD75</f>
        <v>Anno 26</v>
      </c>
      <c r="B129" s="80" t="str">
        <f>$B125</f>
        <v>Costi di Start Up</v>
      </c>
      <c r="C129" s="81">
        <f>$C$5</f>
        <v>0.2</v>
      </c>
      <c r="D129" s="52"/>
      <c r="E129" s="78"/>
      <c r="AC129" s="64"/>
      <c r="AD129" s="64">
        <f>IF($D129*$C129&gt;=$D130,$D130,$D129*$C129)</f>
        <v>0</v>
      </c>
      <c r="AE129" s="64">
        <f>IF($D129*$C129&gt;=AD130,AD130,$D129*$C129)</f>
        <v>0</v>
      </c>
      <c r="AF129" s="64">
        <f>IF($D129*$C129&gt;=AE130,AE130,$D129*$C129)</f>
        <v>0</v>
      </c>
      <c r="AG129" s="64">
        <f>IF($D129*$C129&gt;=AF130,AF130,$D129*$C129)</f>
        <v>0</v>
      </c>
      <c r="AH129" s="64">
        <f>IF($D129*$C129&gt;=AG130,AG130,$D129*$C129)</f>
        <v>0</v>
      </c>
      <c r="AI129" s="86">
        <f>IF($D129*$C129&gt;=AH130,AH130,$D129*$C129)</f>
        <v>0</v>
      </c>
    </row>
    <row r="130" spans="1:36">
      <c r="A130" s="60" t="str">
        <f>AD75</f>
        <v>Anno 26</v>
      </c>
      <c r="B130" s="59" t="s">
        <v>61</v>
      </c>
      <c r="C130" s="81"/>
      <c r="D130" s="52">
        <f>D129</f>
        <v>0</v>
      </c>
      <c r="E130" s="78"/>
      <c r="AC130" s="63"/>
      <c r="AD130" s="63">
        <f>$D130-AD129</f>
        <v>0</v>
      </c>
      <c r="AE130" s="63">
        <f>IF(AD130-AE129&gt;0,AD130-AE129,0)</f>
        <v>0</v>
      </c>
      <c r="AF130" s="63">
        <f>IF(AE130-AF129&gt;0,AE130-AF129,0)</f>
        <v>0</v>
      </c>
      <c r="AG130" s="63">
        <f>IF(AF130-AG129&gt;0,AF130-AG129,0)</f>
        <v>0</v>
      </c>
      <c r="AH130" s="63">
        <f>IF(AG130-AH129&gt;0,AG130-AH129,0)</f>
        <v>0</v>
      </c>
      <c r="AI130" s="79">
        <f>IF(AH130-AI129&gt;0,AH130-AI129,0)</f>
        <v>0</v>
      </c>
    </row>
    <row r="131" spans="1:36">
      <c r="A131" s="95" t="str">
        <f>AE75</f>
        <v>Anno 27</v>
      </c>
      <c r="B131" s="80" t="str">
        <f>$B125</f>
        <v>Costi di Start Up</v>
      </c>
      <c r="C131" s="81">
        <f>$C$5</f>
        <v>0.2</v>
      </c>
      <c r="D131" s="52"/>
      <c r="E131" s="78"/>
      <c r="AC131" s="64"/>
      <c r="AD131" s="64"/>
      <c r="AE131" s="64">
        <f>IF($D131*$C131&gt;=$D132,$D132,$D131*$C131)</f>
        <v>0</v>
      </c>
      <c r="AF131" s="64">
        <f>IF($D131*$C131&gt;=AE132,AE132,$D131*$C131)</f>
        <v>0</v>
      </c>
      <c r="AG131" s="64">
        <f>IF($D131*$C131&gt;=AF132,AF132,$D131*$C131)</f>
        <v>0</v>
      </c>
      <c r="AH131" s="64">
        <f>IF($D131*$C131&gt;=AG132,AG132,$D131*$C131)</f>
        <v>0</v>
      </c>
      <c r="AI131" s="86">
        <f>IF($D131*$C131&gt;=AH132,AH132,$D131*$C131)</f>
        <v>0</v>
      </c>
    </row>
    <row r="132" spans="1:36">
      <c r="A132" s="60" t="str">
        <f>AE75</f>
        <v>Anno 27</v>
      </c>
      <c r="B132" s="59" t="s">
        <v>61</v>
      </c>
      <c r="C132" s="81"/>
      <c r="D132" s="52">
        <f>D131</f>
        <v>0</v>
      </c>
      <c r="E132" s="78"/>
      <c r="AC132" s="63"/>
      <c r="AD132" s="63"/>
      <c r="AE132" s="63">
        <f>$D132-AE131</f>
        <v>0</v>
      </c>
      <c r="AF132" s="63">
        <f>IF(AE132-AF131&gt;0,AE132-AF131,0)</f>
        <v>0</v>
      </c>
      <c r="AG132" s="63">
        <f>IF(AF132-AG131&gt;0,AF132-AG131,0)</f>
        <v>0</v>
      </c>
      <c r="AH132" s="63">
        <f>IF(AG132-AH131&gt;0,AG132-AH131,0)</f>
        <v>0</v>
      </c>
      <c r="AI132" s="79">
        <f>IF(AH132-AI131&gt;0,AH132-AI131,0)</f>
        <v>0</v>
      </c>
    </row>
    <row r="133" spans="1:36">
      <c r="A133" s="95" t="str">
        <f>AF75</f>
        <v>Anno 28</v>
      </c>
      <c r="B133" s="80" t="str">
        <f>$B125</f>
        <v>Costi di Start Up</v>
      </c>
      <c r="C133" s="81">
        <f>$C$5</f>
        <v>0.2</v>
      </c>
      <c r="D133" s="52"/>
      <c r="E133" s="78"/>
      <c r="AC133" s="64"/>
      <c r="AD133" s="64"/>
      <c r="AE133" s="64"/>
      <c r="AF133" s="64">
        <f>IF($D133*$C133&gt;=$D134,$D134,$D133*$C133)</f>
        <v>0</v>
      </c>
      <c r="AG133" s="64">
        <f>IF($D133*$C133&gt;=AF134,AF134,$D133*$C133)</f>
        <v>0</v>
      </c>
      <c r="AH133" s="64">
        <f>IF($D133*$C133&gt;=AG134,AG134,$D133*$C133)</f>
        <v>0</v>
      </c>
      <c r="AI133" s="86">
        <f>IF($D133*$C133&gt;=AH134,AH134,$D133*$C133)</f>
        <v>0</v>
      </c>
    </row>
    <row r="134" spans="1:36">
      <c r="A134" s="60" t="str">
        <f>AF75</f>
        <v>Anno 28</v>
      </c>
      <c r="B134" s="59" t="s">
        <v>61</v>
      </c>
      <c r="C134" s="81"/>
      <c r="D134" s="52">
        <f>D133</f>
        <v>0</v>
      </c>
      <c r="E134" s="78"/>
      <c r="AC134" s="63"/>
      <c r="AD134" s="63"/>
      <c r="AE134" s="63"/>
      <c r="AF134" s="63">
        <f>$D134-AF133</f>
        <v>0</v>
      </c>
      <c r="AG134" s="63">
        <f>IF(AF134-AG133&gt;0,AF134-AG133,0)</f>
        <v>0</v>
      </c>
      <c r="AH134" s="63">
        <f>IF(AG134-AH133&gt;0,AG134-AH133,0)</f>
        <v>0</v>
      </c>
      <c r="AI134" s="79">
        <f>IF(AH134-AI133&gt;0,AH134-AI133,0)</f>
        <v>0</v>
      </c>
    </row>
    <row r="135" spans="1:36">
      <c r="A135" s="95" t="str">
        <f>AG75</f>
        <v>Anno 29</v>
      </c>
      <c r="B135" s="80" t="str">
        <f>$B125</f>
        <v>Costi di Start Up</v>
      </c>
      <c r="C135" s="81">
        <f>$C$5</f>
        <v>0.2</v>
      </c>
      <c r="D135" s="52"/>
      <c r="E135" s="78"/>
      <c r="AC135" s="64"/>
      <c r="AD135" s="64"/>
      <c r="AE135" s="64"/>
      <c r="AF135" s="64"/>
      <c r="AG135" s="64">
        <f>IF($D135*$C135&gt;=$D136,$D136,$D135*$C135)</f>
        <v>0</v>
      </c>
      <c r="AH135" s="64">
        <f>IF($D135*$C135&gt;=AG136,AG136,$D135*$C135)</f>
        <v>0</v>
      </c>
      <c r="AI135" s="86">
        <f>IF($D135*$C135&gt;=AH136,AH136,$D135*$C135)</f>
        <v>0</v>
      </c>
    </row>
    <row r="136" spans="1:36">
      <c r="A136" s="60" t="str">
        <f>AG75</f>
        <v>Anno 29</v>
      </c>
      <c r="B136" s="59" t="s">
        <v>61</v>
      </c>
      <c r="C136" s="81"/>
      <c r="D136" s="52">
        <f>D135</f>
        <v>0</v>
      </c>
      <c r="E136" s="78"/>
      <c r="AC136" s="63"/>
      <c r="AD136" s="63"/>
      <c r="AE136" s="63"/>
      <c r="AF136" s="63"/>
      <c r="AG136" s="63">
        <f>$D136-AG135</f>
        <v>0</v>
      </c>
      <c r="AH136" s="63">
        <f>IF(AG136-AH135&gt;0,AG136-AH135,0)</f>
        <v>0</v>
      </c>
      <c r="AI136" s="79">
        <f>IF(AH136-AI135&gt;0,AH136-AI135,0)</f>
        <v>0</v>
      </c>
    </row>
    <row r="137" spans="1:36">
      <c r="A137" s="95" t="str">
        <f>AH75</f>
        <v>Anno 30</v>
      </c>
      <c r="B137" s="80" t="str">
        <f>$B125</f>
        <v>Costi di Start Up</v>
      </c>
      <c r="C137" s="81">
        <f>$C$5</f>
        <v>0.2</v>
      </c>
      <c r="D137" s="52"/>
      <c r="E137" s="78"/>
      <c r="AC137" s="64"/>
      <c r="AD137" s="64"/>
      <c r="AE137" s="64"/>
      <c r="AF137" s="64"/>
      <c r="AG137" s="64"/>
      <c r="AH137" s="64">
        <f>IF($D137*$C137&gt;=$D138,$D138,$D137*$C137)</f>
        <v>0</v>
      </c>
      <c r="AI137" s="86">
        <f>IF($D137*$C137&gt;=AH138,AH138,$D137*$C137)</f>
        <v>0</v>
      </c>
    </row>
    <row r="138" spans="1:36">
      <c r="A138" s="60" t="str">
        <f>AH75</f>
        <v>Anno 30</v>
      </c>
      <c r="B138" s="59" t="s">
        <v>61</v>
      </c>
      <c r="C138" s="81"/>
      <c r="D138" s="52">
        <f>D137</f>
        <v>0</v>
      </c>
      <c r="E138" s="78"/>
      <c r="AC138" s="63"/>
      <c r="AD138" s="63"/>
      <c r="AE138" s="63"/>
      <c r="AF138" s="63"/>
      <c r="AG138" s="63"/>
      <c r="AH138" s="63">
        <f>$D138-AH137</f>
        <v>0</v>
      </c>
      <c r="AI138" s="79">
        <f>IF(AH138-AI137&gt;0,AH138-AI137,0)</f>
        <v>0</v>
      </c>
    </row>
    <row r="139" spans="1:36">
      <c r="A139" s="95" t="str">
        <f>AI75</f>
        <v>Anno 31</v>
      </c>
      <c r="B139" s="80" t="str">
        <f>$B125</f>
        <v>Costi di Start Up</v>
      </c>
      <c r="C139" s="81">
        <f>$C$5</f>
        <v>0.2</v>
      </c>
      <c r="D139" s="52"/>
      <c r="E139" s="78"/>
      <c r="AC139" s="64"/>
      <c r="AD139" s="64"/>
      <c r="AE139" s="64"/>
      <c r="AF139" s="64"/>
      <c r="AG139" s="64"/>
      <c r="AH139" s="87"/>
      <c r="AI139" s="86">
        <f>IF($D139*$C139&gt;=$D140,$D140,$D139*$C139)</f>
        <v>0</v>
      </c>
    </row>
    <row r="140" spans="1:36">
      <c r="A140" s="60" t="str">
        <f>AI75</f>
        <v>Anno 31</v>
      </c>
      <c r="B140" s="59" t="s">
        <v>61</v>
      </c>
      <c r="C140" s="81"/>
      <c r="D140" s="52">
        <f>D139</f>
        <v>0</v>
      </c>
      <c r="E140" s="89"/>
      <c r="F140" s="90"/>
      <c r="G140" s="90"/>
      <c r="H140" s="90"/>
      <c r="I140" s="90"/>
      <c r="J140" s="91"/>
      <c r="K140" s="91"/>
      <c r="L140" s="91"/>
      <c r="M140" s="91"/>
      <c r="N140" s="91"/>
      <c r="O140" s="91"/>
      <c r="P140" s="91"/>
      <c r="Q140" s="92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0"/>
      <c r="AD140" s="90"/>
      <c r="AE140" s="90"/>
      <c r="AF140" s="90"/>
      <c r="AG140" s="90"/>
      <c r="AH140" s="91"/>
      <c r="AI140" s="94">
        <f>$D140-AI139</f>
        <v>0</v>
      </c>
    </row>
    <row r="141" spans="1:36" s="80" customFormat="1">
      <c r="A141" s="95"/>
      <c r="B141" s="96" t="s">
        <v>66</v>
      </c>
      <c r="C141" s="97"/>
      <c r="D141" s="54"/>
      <c r="E141" s="98">
        <f t="shared" ref="E141:AI141" si="107">E77+E79+E81+E83+E85+E87+E89+E91+E93+E95+E97+E99+E101+E103+E105+E107+E109+E111+E113+E115+E117+E119+E121+E123+E125+E127+E129+E131+E133+E135+E137+E139</f>
        <v>8000</v>
      </c>
      <c r="F141" s="98">
        <f t="shared" si="107"/>
        <v>8000</v>
      </c>
      <c r="G141" s="98">
        <f t="shared" si="107"/>
        <v>8000</v>
      </c>
      <c r="H141" s="98">
        <f t="shared" si="107"/>
        <v>8000</v>
      </c>
      <c r="I141" s="98">
        <f t="shared" si="107"/>
        <v>8000</v>
      </c>
      <c r="J141" s="98">
        <f t="shared" si="107"/>
        <v>0</v>
      </c>
      <c r="K141" s="98">
        <f t="shared" si="107"/>
        <v>0</v>
      </c>
      <c r="L141" s="98">
        <f t="shared" si="107"/>
        <v>0</v>
      </c>
      <c r="M141" s="98">
        <f t="shared" si="107"/>
        <v>0</v>
      </c>
      <c r="N141" s="98">
        <f t="shared" si="107"/>
        <v>0</v>
      </c>
      <c r="O141" s="98">
        <f t="shared" si="107"/>
        <v>0</v>
      </c>
      <c r="P141" s="98">
        <f t="shared" si="107"/>
        <v>0</v>
      </c>
      <c r="Q141" s="98">
        <f t="shared" si="107"/>
        <v>0</v>
      </c>
      <c r="R141" s="98">
        <f t="shared" si="107"/>
        <v>0</v>
      </c>
      <c r="S141" s="98">
        <f t="shared" si="107"/>
        <v>0</v>
      </c>
      <c r="T141" s="98">
        <f t="shared" si="107"/>
        <v>0</v>
      </c>
      <c r="U141" s="98">
        <f t="shared" si="107"/>
        <v>0</v>
      </c>
      <c r="V141" s="98">
        <f t="shared" si="107"/>
        <v>0</v>
      </c>
      <c r="W141" s="98">
        <f t="shared" si="107"/>
        <v>0</v>
      </c>
      <c r="X141" s="98">
        <f t="shared" si="107"/>
        <v>0</v>
      </c>
      <c r="Y141" s="98">
        <f t="shared" si="107"/>
        <v>0</v>
      </c>
      <c r="Z141" s="98">
        <f t="shared" si="107"/>
        <v>0</v>
      </c>
      <c r="AA141" s="98">
        <f t="shared" si="107"/>
        <v>0</v>
      </c>
      <c r="AB141" s="98">
        <f t="shared" si="107"/>
        <v>0</v>
      </c>
      <c r="AC141" s="98">
        <f t="shared" si="107"/>
        <v>0</v>
      </c>
      <c r="AD141" s="98">
        <f t="shared" si="107"/>
        <v>0</v>
      </c>
      <c r="AE141" s="98">
        <f t="shared" si="107"/>
        <v>0</v>
      </c>
      <c r="AF141" s="98">
        <f t="shared" si="107"/>
        <v>0</v>
      </c>
      <c r="AG141" s="98">
        <f t="shared" si="107"/>
        <v>0</v>
      </c>
      <c r="AH141" s="98">
        <f t="shared" si="107"/>
        <v>0</v>
      </c>
      <c r="AI141" s="99">
        <f t="shared" si="107"/>
        <v>0</v>
      </c>
      <c r="AJ141" s="64">
        <f>SUM(E141:AI141)</f>
        <v>40000</v>
      </c>
    </row>
    <row r="142" spans="1:36">
      <c r="B142" s="100" t="s">
        <v>67</v>
      </c>
      <c r="C142" s="101"/>
      <c r="D142" s="55"/>
      <c r="E142" s="89">
        <f t="shared" ref="E142:AI142" si="108">E78+E80+E82+E84+E86+E88+E90+E92+E94+E96+E98+E100+E102+E104+E106+E108+E110+E112+E114+E116+E118+E120+E122+E124+E126+E128+E130+E132+E134+E136+E138+E140</f>
        <v>32000</v>
      </c>
      <c r="F142" s="89">
        <f t="shared" si="108"/>
        <v>24000</v>
      </c>
      <c r="G142" s="89">
        <f t="shared" si="108"/>
        <v>16000</v>
      </c>
      <c r="H142" s="89">
        <f t="shared" si="108"/>
        <v>8000</v>
      </c>
      <c r="I142" s="89">
        <f t="shared" si="108"/>
        <v>0</v>
      </c>
      <c r="J142" s="89">
        <f t="shared" si="108"/>
        <v>0</v>
      </c>
      <c r="K142" s="89">
        <f t="shared" si="108"/>
        <v>0</v>
      </c>
      <c r="L142" s="89">
        <f t="shared" si="108"/>
        <v>0</v>
      </c>
      <c r="M142" s="89">
        <f t="shared" si="108"/>
        <v>0</v>
      </c>
      <c r="N142" s="89">
        <f t="shared" si="108"/>
        <v>0</v>
      </c>
      <c r="O142" s="89">
        <f t="shared" si="108"/>
        <v>0</v>
      </c>
      <c r="P142" s="89">
        <f t="shared" si="108"/>
        <v>0</v>
      </c>
      <c r="Q142" s="89">
        <f t="shared" si="108"/>
        <v>0</v>
      </c>
      <c r="R142" s="89">
        <f t="shared" si="108"/>
        <v>0</v>
      </c>
      <c r="S142" s="89">
        <f t="shared" si="108"/>
        <v>0</v>
      </c>
      <c r="T142" s="89">
        <f t="shared" si="108"/>
        <v>0</v>
      </c>
      <c r="U142" s="89">
        <f t="shared" si="108"/>
        <v>0</v>
      </c>
      <c r="V142" s="89">
        <f t="shared" si="108"/>
        <v>0</v>
      </c>
      <c r="W142" s="89">
        <f t="shared" si="108"/>
        <v>0</v>
      </c>
      <c r="X142" s="89">
        <f t="shared" si="108"/>
        <v>0</v>
      </c>
      <c r="Y142" s="89">
        <f t="shared" si="108"/>
        <v>0</v>
      </c>
      <c r="Z142" s="89">
        <f t="shared" si="108"/>
        <v>0</v>
      </c>
      <c r="AA142" s="89">
        <f t="shared" si="108"/>
        <v>0</v>
      </c>
      <c r="AB142" s="89">
        <f t="shared" si="108"/>
        <v>0</v>
      </c>
      <c r="AC142" s="89">
        <f t="shared" si="108"/>
        <v>0</v>
      </c>
      <c r="AD142" s="89">
        <f t="shared" si="108"/>
        <v>0</v>
      </c>
      <c r="AE142" s="89">
        <f t="shared" si="108"/>
        <v>0</v>
      </c>
      <c r="AF142" s="89">
        <f t="shared" si="108"/>
        <v>0</v>
      </c>
      <c r="AG142" s="89">
        <f t="shared" si="108"/>
        <v>0</v>
      </c>
      <c r="AH142" s="89">
        <f t="shared" si="108"/>
        <v>0</v>
      </c>
      <c r="AI142" s="102">
        <f t="shared" si="108"/>
        <v>0</v>
      </c>
    </row>
    <row r="143" spans="1:36" s="80" customFormat="1">
      <c r="A143" s="95"/>
      <c r="B143" s="96" t="s">
        <v>70</v>
      </c>
      <c r="C143" s="97"/>
      <c r="D143" s="56"/>
      <c r="E143" s="103">
        <f>D79</f>
        <v>40000</v>
      </c>
      <c r="F143" s="103">
        <f>D81</f>
        <v>0</v>
      </c>
      <c r="G143" s="103">
        <f>D83</f>
        <v>0</v>
      </c>
      <c r="H143" s="103">
        <f>D85</f>
        <v>0</v>
      </c>
      <c r="I143" s="103">
        <f>D87</f>
        <v>0</v>
      </c>
      <c r="J143" s="104">
        <f>$D89</f>
        <v>0</v>
      </c>
      <c r="K143" s="104">
        <f>$D91</f>
        <v>0</v>
      </c>
      <c r="L143" s="104">
        <f>$D93</f>
        <v>0</v>
      </c>
      <c r="M143" s="104">
        <f>$D95</f>
        <v>0</v>
      </c>
      <c r="N143" s="104">
        <f>$D97</f>
        <v>0</v>
      </c>
      <c r="O143" s="104">
        <f>$D99</f>
        <v>0</v>
      </c>
      <c r="P143" s="104">
        <f>$D101</f>
        <v>0</v>
      </c>
      <c r="Q143" s="104">
        <f>$D103</f>
        <v>0</v>
      </c>
      <c r="R143" s="104">
        <f>$D105</f>
        <v>0</v>
      </c>
      <c r="S143" s="104">
        <f>$D107</f>
        <v>0</v>
      </c>
      <c r="T143" s="104">
        <f>$D109</f>
        <v>0</v>
      </c>
      <c r="U143" s="104">
        <f>$D111</f>
        <v>0</v>
      </c>
      <c r="V143" s="104">
        <f>$D113</f>
        <v>0</v>
      </c>
      <c r="W143" s="104">
        <f>$D115</f>
        <v>0</v>
      </c>
      <c r="X143" s="104">
        <f>$D117</f>
        <v>0</v>
      </c>
      <c r="Y143" s="104">
        <f>$D119</f>
        <v>0</v>
      </c>
      <c r="Z143" s="104">
        <f>$D121</f>
        <v>0</v>
      </c>
      <c r="AA143" s="104">
        <f>$D123</f>
        <v>0</v>
      </c>
      <c r="AB143" s="104">
        <f>$D125</f>
        <v>0</v>
      </c>
      <c r="AC143" s="104">
        <f>$D127</f>
        <v>0</v>
      </c>
      <c r="AD143" s="104">
        <f>$D129</f>
        <v>0</v>
      </c>
      <c r="AE143" s="104">
        <f>$D131</f>
        <v>0</v>
      </c>
      <c r="AF143" s="104">
        <f>$D133</f>
        <v>0</v>
      </c>
      <c r="AG143" s="104">
        <f>$D135</f>
        <v>0</v>
      </c>
      <c r="AH143" s="104">
        <f>$D137</f>
        <v>0</v>
      </c>
      <c r="AI143" s="104">
        <f>$D139</f>
        <v>0</v>
      </c>
      <c r="AJ143" s="64">
        <f>SUM(E143:AI143)</f>
        <v>40000</v>
      </c>
    </row>
    <row r="144" spans="1:36">
      <c r="B144" s="105" t="s">
        <v>71</v>
      </c>
      <c r="C144" s="106"/>
      <c r="D144" s="57"/>
      <c r="E144" s="107">
        <f>E143</f>
        <v>40000</v>
      </c>
      <c r="F144" s="107">
        <f t="shared" ref="F144:AI144" si="109">E144+F143</f>
        <v>40000</v>
      </c>
      <c r="G144" s="107">
        <f t="shared" si="109"/>
        <v>40000</v>
      </c>
      <c r="H144" s="107">
        <f t="shared" si="109"/>
        <v>40000</v>
      </c>
      <c r="I144" s="107">
        <f t="shared" si="109"/>
        <v>40000</v>
      </c>
      <c r="J144" s="107">
        <f t="shared" si="109"/>
        <v>40000</v>
      </c>
      <c r="K144" s="107">
        <f t="shared" si="109"/>
        <v>40000</v>
      </c>
      <c r="L144" s="107">
        <f t="shared" si="109"/>
        <v>40000</v>
      </c>
      <c r="M144" s="107">
        <f t="shared" si="109"/>
        <v>40000</v>
      </c>
      <c r="N144" s="107">
        <f t="shared" si="109"/>
        <v>40000</v>
      </c>
      <c r="O144" s="107">
        <f t="shared" si="109"/>
        <v>40000</v>
      </c>
      <c r="P144" s="107">
        <f t="shared" si="109"/>
        <v>40000</v>
      </c>
      <c r="Q144" s="107">
        <f t="shared" si="109"/>
        <v>40000</v>
      </c>
      <c r="R144" s="107">
        <f t="shared" si="109"/>
        <v>40000</v>
      </c>
      <c r="S144" s="107">
        <f t="shared" si="109"/>
        <v>40000</v>
      </c>
      <c r="T144" s="107">
        <f t="shared" si="109"/>
        <v>40000</v>
      </c>
      <c r="U144" s="107">
        <f t="shared" si="109"/>
        <v>40000</v>
      </c>
      <c r="V144" s="107">
        <f t="shared" si="109"/>
        <v>40000</v>
      </c>
      <c r="W144" s="107">
        <f t="shared" si="109"/>
        <v>40000</v>
      </c>
      <c r="X144" s="107">
        <f t="shared" si="109"/>
        <v>40000</v>
      </c>
      <c r="Y144" s="107">
        <f t="shared" si="109"/>
        <v>40000</v>
      </c>
      <c r="Z144" s="107">
        <f t="shared" si="109"/>
        <v>40000</v>
      </c>
      <c r="AA144" s="107">
        <f t="shared" si="109"/>
        <v>40000</v>
      </c>
      <c r="AB144" s="107">
        <f t="shared" si="109"/>
        <v>40000</v>
      </c>
      <c r="AC144" s="107">
        <f t="shared" si="109"/>
        <v>40000</v>
      </c>
      <c r="AD144" s="107">
        <f t="shared" si="109"/>
        <v>40000</v>
      </c>
      <c r="AE144" s="107">
        <f t="shared" si="109"/>
        <v>40000</v>
      </c>
      <c r="AF144" s="107">
        <f t="shared" si="109"/>
        <v>40000</v>
      </c>
      <c r="AG144" s="107">
        <f t="shared" si="109"/>
        <v>40000</v>
      </c>
      <c r="AH144" s="107">
        <f t="shared" si="109"/>
        <v>40000</v>
      </c>
      <c r="AI144" s="107">
        <f t="shared" si="109"/>
        <v>40000</v>
      </c>
    </row>
    <row r="145" spans="1:37">
      <c r="B145" s="80"/>
      <c r="C145" s="108"/>
      <c r="D145" s="58"/>
    </row>
    <row r="146" spans="1:37">
      <c r="E146" s="51" t="str">
        <f>E3</f>
        <v>Anno 1</v>
      </c>
      <c r="F146" s="51" t="str">
        <f t="shared" ref="F146:AI146" si="110">F3</f>
        <v>Anno 2</v>
      </c>
      <c r="G146" s="51" t="str">
        <f t="shared" si="110"/>
        <v>Anno 3</v>
      </c>
      <c r="H146" s="51" t="str">
        <f t="shared" si="110"/>
        <v>Anno 4</v>
      </c>
      <c r="I146" s="51" t="str">
        <f t="shared" si="110"/>
        <v>Anno 5</v>
      </c>
      <c r="J146" s="51" t="str">
        <f t="shared" si="110"/>
        <v>Anno 6</v>
      </c>
      <c r="K146" s="51" t="str">
        <f t="shared" si="110"/>
        <v>Anno 7</v>
      </c>
      <c r="L146" s="51" t="str">
        <f t="shared" si="110"/>
        <v>Anno 8</v>
      </c>
      <c r="M146" s="51" t="str">
        <f t="shared" si="110"/>
        <v>Anno 9</v>
      </c>
      <c r="N146" s="51" t="str">
        <f t="shared" si="110"/>
        <v>Anno 10</v>
      </c>
      <c r="O146" s="51" t="str">
        <f t="shared" si="110"/>
        <v>Anno 11</v>
      </c>
      <c r="P146" s="51" t="str">
        <f t="shared" si="110"/>
        <v>Anno 12</v>
      </c>
      <c r="Q146" s="51" t="str">
        <f t="shared" si="110"/>
        <v>Anno 13</v>
      </c>
      <c r="R146" s="51" t="str">
        <f t="shared" si="110"/>
        <v>Anno 14</v>
      </c>
      <c r="S146" s="51" t="str">
        <f t="shared" si="110"/>
        <v>Anno 15</v>
      </c>
      <c r="T146" s="51" t="str">
        <f t="shared" si="110"/>
        <v>Anno 16</v>
      </c>
      <c r="U146" s="51" t="str">
        <f t="shared" si="110"/>
        <v>Anno 17</v>
      </c>
      <c r="V146" s="51" t="str">
        <f t="shared" si="110"/>
        <v>Anno 18</v>
      </c>
      <c r="W146" s="51" t="str">
        <f t="shared" si="110"/>
        <v>Anno 19</v>
      </c>
      <c r="X146" s="51" t="str">
        <f t="shared" si="110"/>
        <v>Anno 20</v>
      </c>
      <c r="Y146" s="51" t="str">
        <f t="shared" si="110"/>
        <v>Anno 21</v>
      </c>
      <c r="Z146" s="51" t="str">
        <f t="shared" si="110"/>
        <v>Anno 22</v>
      </c>
      <c r="AA146" s="51" t="str">
        <f t="shared" si="110"/>
        <v>Anno 23</v>
      </c>
      <c r="AB146" s="51" t="str">
        <f t="shared" si="110"/>
        <v>Anno 24</v>
      </c>
      <c r="AC146" s="51" t="str">
        <f t="shared" si="110"/>
        <v>Anno 25</v>
      </c>
      <c r="AD146" s="51" t="str">
        <f t="shared" si="110"/>
        <v>Anno 26</v>
      </c>
      <c r="AE146" s="51" t="str">
        <f t="shared" si="110"/>
        <v>Anno 27</v>
      </c>
      <c r="AF146" s="51" t="str">
        <f t="shared" si="110"/>
        <v>Anno 28</v>
      </c>
      <c r="AG146" s="51" t="str">
        <f t="shared" si="110"/>
        <v>Anno 29</v>
      </c>
      <c r="AH146" s="51" t="str">
        <f t="shared" si="110"/>
        <v>Anno 30</v>
      </c>
      <c r="AI146" s="51" t="str">
        <f t="shared" si="110"/>
        <v>Anno 31</v>
      </c>
    </row>
    <row r="147" spans="1:37" s="80" customFormat="1">
      <c r="A147" s="95"/>
      <c r="B147" s="96" t="s">
        <v>68</v>
      </c>
      <c r="C147" s="110"/>
      <c r="D147" s="111"/>
      <c r="E147" s="103">
        <f>E69+E141</f>
        <v>18000</v>
      </c>
      <c r="F147" s="103">
        <f t="shared" ref="F147:AJ147" si="111">F69+F141</f>
        <v>18000</v>
      </c>
      <c r="G147" s="103">
        <f t="shared" si="111"/>
        <v>18000</v>
      </c>
      <c r="H147" s="103">
        <f t="shared" si="111"/>
        <v>18000</v>
      </c>
      <c r="I147" s="103">
        <f t="shared" si="111"/>
        <v>18000</v>
      </c>
      <c r="J147" s="103">
        <f t="shared" si="111"/>
        <v>0</v>
      </c>
      <c r="K147" s="103">
        <f t="shared" si="111"/>
        <v>0</v>
      </c>
      <c r="L147" s="103">
        <f t="shared" si="111"/>
        <v>0</v>
      </c>
      <c r="M147" s="103">
        <f t="shared" si="111"/>
        <v>0</v>
      </c>
      <c r="N147" s="103">
        <f t="shared" si="111"/>
        <v>0</v>
      </c>
      <c r="O147" s="103">
        <f t="shared" si="111"/>
        <v>0</v>
      </c>
      <c r="P147" s="103">
        <f t="shared" si="111"/>
        <v>0</v>
      </c>
      <c r="Q147" s="103">
        <f t="shared" si="111"/>
        <v>0</v>
      </c>
      <c r="R147" s="103">
        <f t="shared" si="111"/>
        <v>0</v>
      </c>
      <c r="S147" s="103">
        <f t="shared" si="111"/>
        <v>0</v>
      </c>
      <c r="T147" s="103">
        <f t="shared" si="111"/>
        <v>0</v>
      </c>
      <c r="U147" s="103">
        <f t="shared" si="111"/>
        <v>0</v>
      </c>
      <c r="V147" s="103">
        <f t="shared" si="111"/>
        <v>0</v>
      </c>
      <c r="W147" s="103">
        <f t="shared" si="111"/>
        <v>0</v>
      </c>
      <c r="X147" s="103">
        <f t="shared" si="111"/>
        <v>0</v>
      </c>
      <c r="Y147" s="103">
        <f t="shared" si="111"/>
        <v>0</v>
      </c>
      <c r="Z147" s="103">
        <f t="shared" si="111"/>
        <v>0</v>
      </c>
      <c r="AA147" s="103">
        <f t="shared" si="111"/>
        <v>0</v>
      </c>
      <c r="AB147" s="103">
        <f t="shared" si="111"/>
        <v>0</v>
      </c>
      <c r="AC147" s="103">
        <f t="shared" si="111"/>
        <v>0</v>
      </c>
      <c r="AD147" s="103">
        <f t="shared" si="111"/>
        <v>0</v>
      </c>
      <c r="AE147" s="103">
        <f t="shared" si="111"/>
        <v>0</v>
      </c>
      <c r="AF147" s="103">
        <f t="shared" si="111"/>
        <v>0</v>
      </c>
      <c r="AG147" s="103">
        <f t="shared" si="111"/>
        <v>0</v>
      </c>
      <c r="AH147" s="103">
        <f t="shared" si="111"/>
        <v>0</v>
      </c>
      <c r="AI147" s="103">
        <f t="shared" si="111"/>
        <v>0</v>
      </c>
      <c r="AJ147" s="103">
        <f t="shared" si="111"/>
        <v>90000</v>
      </c>
    </row>
    <row r="148" spans="1:37">
      <c r="B148" s="100" t="s">
        <v>69</v>
      </c>
      <c r="C148" s="112"/>
      <c r="D148" s="113"/>
      <c r="E148" s="107">
        <f>E70+E142</f>
        <v>72000</v>
      </c>
      <c r="F148" s="107">
        <f t="shared" ref="F148:AI148" si="112">F70+F142</f>
        <v>54000</v>
      </c>
      <c r="G148" s="107">
        <f t="shared" si="112"/>
        <v>36000</v>
      </c>
      <c r="H148" s="107">
        <f t="shared" si="112"/>
        <v>18000</v>
      </c>
      <c r="I148" s="107">
        <f t="shared" si="112"/>
        <v>0</v>
      </c>
      <c r="J148" s="107">
        <f t="shared" si="112"/>
        <v>0</v>
      </c>
      <c r="K148" s="107">
        <f t="shared" si="112"/>
        <v>0</v>
      </c>
      <c r="L148" s="107">
        <f t="shared" si="112"/>
        <v>0</v>
      </c>
      <c r="M148" s="107">
        <f t="shared" si="112"/>
        <v>0</v>
      </c>
      <c r="N148" s="107">
        <f t="shared" si="112"/>
        <v>0</v>
      </c>
      <c r="O148" s="107">
        <f t="shared" si="112"/>
        <v>0</v>
      </c>
      <c r="P148" s="107">
        <f t="shared" si="112"/>
        <v>0</v>
      </c>
      <c r="Q148" s="107">
        <f t="shared" si="112"/>
        <v>0</v>
      </c>
      <c r="R148" s="107">
        <f t="shared" si="112"/>
        <v>0</v>
      </c>
      <c r="S148" s="107">
        <f t="shared" si="112"/>
        <v>0</v>
      </c>
      <c r="T148" s="107">
        <f t="shared" si="112"/>
        <v>0</v>
      </c>
      <c r="U148" s="107">
        <f t="shared" si="112"/>
        <v>0</v>
      </c>
      <c r="V148" s="107">
        <f t="shared" si="112"/>
        <v>0</v>
      </c>
      <c r="W148" s="107">
        <f t="shared" si="112"/>
        <v>0</v>
      </c>
      <c r="X148" s="107">
        <f t="shared" si="112"/>
        <v>0</v>
      </c>
      <c r="Y148" s="107">
        <f t="shared" si="112"/>
        <v>0</v>
      </c>
      <c r="Z148" s="107">
        <f t="shared" si="112"/>
        <v>0</v>
      </c>
      <c r="AA148" s="107">
        <f t="shared" si="112"/>
        <v>0</v>
      </c>
      <c r="AB148" s="107">
        <f t="shared" si="112"/>
        <v>0</v>
      </c>
      <c r="AC148" s="107">
        <f t="shared" si="112"/>
        <v>0</v>
      </c>
      <c r="AD148" s="107">
        <f t="shared" si="112"/>
        <v>0</v>
      </c>
      <c r="AE148" s="107">
        <f t="shared" si="112"/>
        <v>0</v>
      </c>
      <c r="AF148" s="107">
        <f t="shared" si="112"/>
        <v>0</v>
      </c>
      <c r="AG148" s="107">
        <f t="shared" si="112"/>
        <v>0</v>
      </c>
      <c r="AH148" s="107">
        <f t="shared" si="112"/>
        <v>0</v>
      </c>
      <c r="AI148" s="107">
        <f t="shared" si="112"/>
        <v>0</v>
      </c>
    </row>
    <row r="149" spans="1:37" s="80" customFormat="1">
      <c r="A149" s="95"/>
      <c r="B149" s="96" t="s">
        <v>70</v>
      </c>
      <c r="C149" s="110"/>
      <c r="D149" s="114"/>
      <c r="E149" s="103">
        <f>E71+E143</f>
        <v>90000</v>
      </c>
      <c r="F149" s="103">
        <f t="shared" ref="F149:AJ149" si="113">F71+F143</f>
        <v>0</v>
      </c>
      <c r="G149" s="103">
        <f t="shared" si="113"/>
        <v>0</v>
      </c>
      <c r="H149" s="103">
        <f t="shared" si="113"/>
        <v>0</v>
      </c>
      <c r="I149" s="103">
        <f t="shared" si="113"/>
        <v>0</v>
      </c>
      <c r="J149" s="103">
        <f t="shared" si="113"/>
        <v>0</v>
      </c>
      <c r="K149" s="103">
        <f t="shared" si="113"/>
        <v>0</v>
      </c>
      <c r="L149" s="103">
        <f t="shared" si="113"/>
        <v>0</v>
      </c>
      <c r="M149" s="103">
        <f t="shared" si="113"/>
        <v>0</v>
      </c>
      <c r="N149" s="103">
        <f t="shared" si="113"/>
        <v>0</v>
      </c>
      <c r="O149" s="103">
        <f t="shared" si="113"/>
        <v>0</v>
      </c>
      <c r="P149" s="103">
        <f t="shared" si="113"/>
        <v>0</v>
      </c>
      <c r="Q149" s="103">
        <f t="shared" si="113"/>
        <v>0</v>
      </c>
      <c r="R149" s="103">
        <f t="shared" si="113"/>
        <v>0</v>
      </c>
      <c r="S149" s="103">
        <f t="shared" si="113"/>
        <v>0</v>
      </c>
      <c r="T149" s="103">
        <f t="shared" si="113"/>
        <v>0</v>
      </c>
      <c r="U149" s="103">
        <f t="shared" si="113"/>
        <v>0</v>
      </c>
      <c r="V149" s="103">
        <f t="shared" si="113"/>
        <v>0</v>
      </c>
      <c r="W149" s="103">
        <f t="shared" si="113"/>
        <v>0</v>
      </c>
      <c r="X149" s="103">
        <f t="shared" si="113"/>
        <v>0</v>
      </c>
      <c r="Y149" s="103">
        <f t="shared" si="113"/>
        <v>0</v>
      </c>
      <c r="Z149" s="103">
        <f t="shared" si="113"/>
        <v>0</v>
      </c>
      <c r="AA149" s="103">
        <f t="shared" si="113"/>
        <v>0</v>
      </c>
      <c r="AB149" s="103">
        <f t="shared" si="113"/>
        <v>0</v>
      </c>
      <c r="AC149" s="103">
        <f t="shared" si="113"/>
        <v>0</v>
      </c>
      <c r="AD149" s="103">
        <f t="shared" si="113"/>
        <v>0</v>
      </c>
      <c r="AE149" s="103">
        <f t="shared" si="113"/>
        <v>0</v>
      </c>
      <c r="AF149" s="103">
        <f t="shared" si="113"/>
        <v>0</v>
      </c>
      <c r="AG149" s="103">
        <f t="shared" si="113"/>
        <v>0</v>
      </c>
      <c r="AH149" s="103">
        <f t="shared" si="113"/>
        <v>0</v>
      </c>
      <c r="AI149" s="103">
        <f t="shared" si="113"/>
        <v>0</v>
      </c>
      <c r="AJ149" s="103">
        <f t="shared" si="113"/>
        <v>90000</v>
      </c>
    </row>
    <row r="150" spans="1:37">
      <c r="B150" s="105" t="s">
        <v>71</v>
      </c>
      <c r="C150" s="115"/>
      <c r="D150" s="116"/>
      <c r="E150" s="107">
        <f>E72+E144</f>
        <v>90000</v>
      </c>
      <c r="F150" s="107">
        <f t="shared" ref="F150:AI150" si="114">F72+F144</f>
        <v>90000</v>
      </c>
      <c r="G150" s="107">
        <f t="shared" si="114"/>
        <v>90000</v>
      </c>
      <c r="H150" s="107">
        <f t="shared" si="114"/>
        <v>90000</v>
      </c>
      <c r="I150" s="107">
        <f t="shared" si="114"/>
        <v>90000</v>
      </c>
      <c r="J150" s="107">
        <f t="shared" si="114"/>
        <v>90000</v>
      </c>
      <c r="K150" s="107">
        <f t="shared" si="114"/>
        <v>90000</v>
      </c>
      <c r="L150" s="107">
        <f t="shared" si="114"/>
        <v>90000</v>
      </c>
      <c r="M150" s="107">
        <f t="shared" si="114"/>
        <v>90000</v>
      </c>
      <c r="N150" s="107">
        <f t="shared" si="114"/>
        <v>90000</v>
      </c>
      <c r="O150" s="107">
        <f t="shared" si="114"/>
        <v>90000</v>
      </c>
      <c r="P150" s="107">
        <f t="shared" si="114"/>
        <v>90000</v>
      </c>
      <c r="Q150" s="107">
        <f t="shared" si="114"/>
        <v>90000</v>
      </c>
      <c r="R150" s="107">
        <f t="shared" si="114"/>
        <v>90000</v>
      </c>
      <c r="S150" s="107">
        <f t="shared" si="114"/>
        <v>90000</v>
      </c>
      <c r="T150" s="107">
        <f t="shared" si="114"/>
        <v>90000</v>
      </c>
      <c r="U150" s="107">
        <f t="shared" si="114"/>
        <v>90000</v>
      </c>
      <c r="V150" s="107">
        <f t="shared" si="114"/>
        <v>90000</v>
      </c>
      <c r="W150" s="107">
        <f t="shared" si="114"/>
        <v>90000</v>
      </c>
      <c r="X150" s="107">
        <f t="shared" si="114"/>
        <v>90000</v>
      </c>
      <c r="Y150" s="107">
        <f t="shared" si="114"/>
        <v>90000</v>
      </c>
      <c r="Z150" s="107">
        <f t="shared" si="114"/>
        <v>90000</v>
      </c>
      <c r="AA150" s="107">
        <f t="shared" si="114"/>
        <v>90000</v>
      </c>
      <c r="AB150" s="107">
        <f t="shared" si="114"/>
        <v>90000</v>
      </c>
      <c r="AC150" s="107">
        <f t="shared" si="114"/>
        <v>90000</v>
      </c>
      <c r="AD150" s="107">
        <f t="shared" si="114"/>
        <v>90000</v>
      </c>
      <c r="AE150" s="107">
        <f t="shared" si="114"/>
        <v>90000</v>
      </c>
      <c r="AF150" s="107">
        <f t="shared" si="114"/>
        <v>90000</v>
      </c>
      <c r="AG150" s="107">
        <f t="shared" si="114"/>
        <v>90000</v>
      </c>
      <c r="AH150" s="107">
        <f t="shared" si="114"/>
        <v>90000</v>
      </c>
      <c r="AI150" s="107">
        <f t="shared" si="114"/>
        <v>90000</v>
      </c>
    </row>
    <row r="151" spans="1:37"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</row>
    <row r="152" spans="1:37">
      <c r="B152" s="105" t="s">
        <v>76</v>
      </c>
      <c r="C152" s="115"/>
      <c r="D152" s="117">
        <f>D6</f>
        <v>0</v>
      </c>
      <c r="E152" s="118"/>
      <c r="F152" s="118"/>
      <c r="G152" s="118"/>
      <c r="H152" s="118"/>
      <c r="I152" s="118"/>
      <c r="J152" s="119"/>
      <c r="K152" s="119"/>
      <c r="L152" s="119"/>
      <c r="M152" s="119"/>
      <c r="N152" s="119"/>
      <c r="O152" s="119"/>
      <c r="P152" s="119"/>
      <c r="Q152" s="120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07">
        <f>D152</f>
        <v>0</v>
      </c>
    </row>
    <row r="154" spans="1:37">
      <c r="AJ154" s="122">
        <f>AJ152+AJ149-AJ147-AI148</f>
        <v>0</v>
      </c>
      <c r="AK154" s="123" t="s">
        <v>77</v>
      </c>
    </row>
  </sheetData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42" orientation="landscape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D0024-70E4-CC49-AAF8-184238077D77}">
  <sheetPr codeName="Foglio1">
    <pageSetUpPr fitToPage="1"/>
  </sheetPr>
  <dimension ref="A1:DU76"/>
  <sheetViews>
    <sheetView showGridLines="0" zoomScale="85" zoomScaleNormal="85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K77" sqref="K77"/>
    </sheetView>
  </sheetViews>
  <sheetFormatPr defaultColWidth="9.140625" defaultRowHeight="17.25" customHeight="1" outlineLevelRow="1" outlineLevelCol="1"/>
  <cols>
    <col min="1" max="1" width="55.7109375" style="10" customWidth="1"/>
    <col min="2" max="2" width="7.28515625" style="10" hidden="1" customWidth="1" outlineLevel="1"/>
    <col min="3" max="3" width="10.140625" style="10" customWidth="1" collapsed="1"/>
    <col min="4" max="22" width="10.140625" style="10" customWidth="1"/>
    <col min="23" max="33" width="8.7109375" style="10" customWidth="1" outlineLevel="1"/>
    <col min="34" max="34" width="9.140625" style="10" customWidth="1" outlineLevel="1"/>
    <col min="35" max="16384" width="9.140625" style="10"/>
  </cols>
  <sheetData>
    <row r="1" spans="1:125" s="3" customFormat="1" ht="17.25" customHeight="1">
      <c r="A1" s="4" t="s">
        <v>908</v>
      </c>
      <c r="B1" s="276" t="s">
        <v>178</v>
      </c>
      <c r="C1" s="276" t="s">
        <v>144</v>
      </c>
      <c r="D1" s="276" t="s">
        <v>145</v>
      </c>
      <c r="E1" s="276" t="s">
        <v>146</v>
      </c>
      <c r="F1" s="276" t="s">
        <v>147</v>
      </c>
      <c r="G1" s="276" t="s">
        <v>148</v>
      </c>
      <c r="H1" s="276" t="s">
        <v>149</v>
      </c>
      <c r="I1" s="276" t="s">
        <v>150</v>
      </c>
      <c r="J1" s="276" t="s">
        <v>151</v>
      </c>
      <c r="K1" s="276" t="s">
        <v>152</v>
      </c>
      <c r="L1" s="276" t="s">
        <v>153</v>
      </c>
      <c r="M1" s="276" t="s">
        <v>154</v>
      </c>
      <c r="N1" s="276" t="s">
        <v>155</v>
      </c>
      <c r="O1" s="276" t="s">
        <v>156</v>
      </c>
      <c r="P1" s="276" t="s">
        <v>157</v>
      </c>
      <c r="Q1" s="276" t="s">
        <v>158</v>
      </c>
      <c r="R1" s="276" t="s">
        <v>159</v>
      </c>
      <c r="S1" s="276" t="s">
        <v>160</v>
      </c>
      <c r="T1" s="276" t="s">
        <v>161</v>
      </c>
      <c r="U1" s="276" t="s">
        <v>162</v>
      </c>
      <c r="V1" s="276" t="s">
        <v>163</v>
      </c>
      <c r="W1" s="276" t="s">
        <v>164</v>
      </c>
      <c r="X1" s="276" t="s">
        <v>165</v>
      </c>
      <c r="Y1" s="276" t="s">
        <v>166</v>
      </c>
      <c r="Z1" s="276" t="s">
        <v>167</v>
      </c>
      <c r="AA1" s="276" t="s">
        <v>168</v>
      </c>
      <c r="AB1" s="276" t="s">
        <v>169</v>
      </c>
      <c r="AC1" s="276" t="s">
        <v>170</v>
      </c>
      <c r="AD1" s="276" t="s">
        <v>171</v>
      </c>
      <c r="AE1" s="276" t="s">
        <v>172</v>
      </c>
      <c r="AF1" s="276" t="s">
        <v>173</v>
      </c>
      <c r="AG1" s="276" t="s">
        <v>174</v>
      </c>
      <c r="AH1" s="276" t="s">
        <v>175</v>
      </c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</row>
    <row r="2" spans="1:125" s="3" customFormat="1" ht="6" customHeight="1" outlineLevel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</row>
    <row r="3" spans="1:125" ht="17.25" customHeight="1" outlineLevel="1">
      <c r="A3" s="186" t="s">
        <v>52</v>
      </c>
      <c r="B3" s="187">
        <v>1</v>
      </c>
      <c r="C3" s="188">
        <v>1</v>
      </c>
      <c r="D3" s="187">
        <f t="shared" ref="D3:AE5" si="0">C3</f>
        <v>1</v>
      </c>
      <c r="E3" s="187">
        <f t="shared" si="0"/>
        <v>1</v>
      </c>
      <c r="F3" s="187">
        <f t="shared" si="0"/>
        <v>1</v>
      </c>
      <c r="G3" s="187">
        <f t="shared" si="0"/>
        <v>1</v>
      </c>
      <c r="H3" s="187">
        <f t="shared" si="0"/>
        <v>1</v>
      </c>
      <c r="I3" s="187">
        <f t="shared" si="0"/>
        <v>1</v>
      </c>
      <c r="J3" s="187">
        <f t="shared" si="0"/>
        <v>1</v>
      </c>
      <c r="K3" s="187">
        <f t="shared" si="0"/>
        <v>1</v>
      </c>
      <c r="L3" s="187">
        <f t="shared" si="0"/>
        <v>1</v>
      </c>
      <c r="M3" s="187">
        <f t="shared" si="0"/>
        <v>1</v>
      </c>
      <c r="N3" s="187">
        <f t="shared" si="0"/>
        <v>1</v>
      </c>
      <c r="O3" s="187">
        <f t="shared" si="0"/>
        <v>1</v>
      </c>
      <c r="P3" s="187">
        <f t="shared" si="0"/>
        <v>1</v>
      </c>
      <c r="Q3" s="187">
        <f t="shared" si="0"/>
        <v>1</v>
      </c>
      <c r="R3" s="187">
        <f t="shared" si="0"/>
        <v>1</v>
      </c>
      <c r="S3" s="187">
        <f t="shared" si="0"/>
        <v>1</v>
      </c>
      <c r="T3" s="187">
        <f t="shared" si="0"/>
        <v>1</v>
      </c>
      <c r="U3" s="187">
        <f t="shared" si="0"/>
        <v>1</v>
      </c>
      <c r="V3" s="187">
        <f t="shared" si="0"/>
        <v>1</v>
      </c>
      <c r="W3" s="187">
        <f t="shared" si="0"/>
        <v>1</v>
      </c>
      <c r="X3" s="187">
        <f t="shared" si="0"/>
        <v>1</v>
      </c>
      <c r="Y3" s="187">
        <f t="shared" si="0"/>
        <v>1</v>
      </c>
      <c r="Z3" s="187">
        <f t="shared" si="0"/>
        <v>1</v>
      </c>
      <c r="AA3" s="187">
        <f t="shared" si="0"/>
        <v>1</v>
      </c>
      <c r="AB3" s="187">
        <f t="shared" si="0"/>
        <v>1</v>
      </c>
      <c r="AC3" s="187">
        <f t="shared" si="0"/>
        <v>1</v>
      </c>
      <c r="AD3" s="187">
        <f t="shared" si="0"/>
        <v>1</v>
      </c>
      <c r="AE3" s="187">
        <f t="shared" si="0"/>
        <v>1</v>
      </c>
      <c r="AF3" s="187">
        <f t="shared" ref="AF3:AH5" si="1">AE3</f>
        <v>1</v>
      </c>
      <c r="AG3" s="187">
        <f t="shared" si="1"/>
        <v>1</v>
      </c>
      <c r="AH3" s="189">
        <f t="shared" si="1"/>
        <v>1</v>
      </c>
    </row>
    <row r="4" spans="1:125" ht="17.25" customHeight="1" outlineLevel="1">
      <c r="A4" s="169" t="s">
        <v>51</v>
      </c>
      <c r="B4" s="10">
        <v>60</v>
      </c>
      <c r="C4" s="190">
        <v>30</v>
      </c>
      <c r="D4" s="10">
        <f t="shared" ref="D4:R4" si="2">C4</f>
        <v>30</v>
      </c>
      <c r="E4" s="10">
        <f t="shared" si="2"/>
        <v>30</v>
      </c>
      <c r="F4" s="10">
        <f t="shared" si="2"/>
        <v>30</v>
      </c>
      <c r="G4" s="10">
        <f t="shared" si="2"/>
        <v>30</v>
      </c>
      <c r="H4" s="10">
        <f t="shared" si="2"/>
        <v>30</v>
      </c>
      <c r="I4" s="10">
        <f t="shared" si="2"/>
        <v>30</v>
      </c>
      <c r="J4" s="10">
        <f t="shared" si="2"/>
        <v>30</v>
      </c>
      <c r="K4" s="10">
        <f t="shared" si="2"/>
        <v>30</v>
      </c>
      <c r="L4" s="10">
        <f t="shared" si="2"/>
        <v>30</v>
      </c>
      <c r="M4" s="10">
        <f t="shared" si="2"/>
        <v>30</v>
      </c>
      <c r="N4" s="10">
        <f t="shared" si="2"/>
        <v>30</v>
      </c>
      <c r="O4" s="10">
        <f t="shared" si="2"/>
        <v>30</v>
      </c>
      <c r="P4" s="10">
        <f t="shared" si="2"/>
        <v>30</v>
      </c>
      <c r="Q4" s="10">
        <f t="shared" si="2"/>
        <v>30</v>
      </c>
      <c r="R4" s="10">
        <f t="shared" si="2"/>
        <v>30</v>
      </c>
      <c r="S4" s="10">
        <f t="shared" si="0"/>
        <v>30</v>
      </c>
      <c r="T4" s="10">
        <f t="shared" si="0"/>
        <v>30</v>
      </c>
      <c r="U4" s="10">
        <f t="shared" si="0"/>
        <v>30</v>
      </c>
      <c r="V4" s="10">
        <f t="shared" si="0"/>
        <v>30</v>
      </c>
      <c r="W4" s="10">
        <f t="shared" si="0"/>
        <v>30</v>
      </c>
      <c r="X4" s="10">
        <f t="shared" si="0"/>
        <v>30</v>
      </c>
      <c r="Y4" s="10">
        <f t="shared" si="0"/>
        <v>30</v>
      </c>
      <c r="Z4" s="10">
        <f t="shared" si="0"/>
        <v>30</v>
      </c>
      <c r="AA4" s="10">
        <f t="shared" si="0"/>
        <v>30</v>
      </c>
      <c r="AB4" s="10">
        <f t="shared" si="0"/>
        <v>30</v>
      </c>
      <c r="AC4" s="10">
        <f t="shared" si="0"/>
        <v>30</v>
      </c>
      <c r="AD4" s="10">
        <f t="shared" si="0"/>
        <v>30</v>
      </c>
      <c r="AE4" s="10">
        <f t="shared" si="0"/>
        <v>30</v>
      </c>
      <c r="AF4" s="10">
        <f t="shared" si="1"/>
        <v>30</v>
      </c>
      <c r="AG4" s="10">
        <f t="shared" si="1"/>
        <v>30</v>
      </c>
      <c r="AH4" s="191">
        <f t="shared" si="1"/>
        <v>30</v>
      </c>
    </row>
    <row r="5" spans="1:125" ht="17.25" customHeight="1" outlineLevel="1">
      <c r="A5" s="169" t="s">
        <v>50</v>
      </c>
      <c r="B5" s="10">
        <v>90</v>
      </c>
      <c r="C5" s="190">
        <v>90</v>
      </c>
      <c r="D5" s="10">
        <f t="shared" si="0"/>
        <v>90</v>
      </c>
      <c r="E5" s="10">
        <f t="shared" si="0"/>
        <v>90</v>
      </c>
      <c r="F5" s="10">
        <f t="shared" si="0"/>
        <v>90</v>
      </c>
      <c r="G5" s="10">
        <f t="shared" si="0"/>
        <v>90</v>
      </c>
      <c r="H5" s="10">
        <f t="shared" si="0"/>
        <v>90</v>
      </c>
      <c r="I5" s="10">
        <f t="shared" si="0"/>
        <v>90</v>
      </c>
      <c r="J5" s="10">
        <f t="shared" si="0"/>
        <v>90</v>
      </c>
      <c r="K5" s="10">
        <f t="shared" si="0"/>
        <v>90</v>
      </c>
      <c r="L5" s="10">
        <f t="shared" si="0"/>
        <v>90</v>
      </c>
      <c r="M5" s="10">
        <f t="shared" si="0"/>
        <v>90</v>
      </c>
      <c r="N5" s="10">
        <f t="shared" si="0"/>
        <v>90</v>
      </c>
      <c r="O5" s="10">
        <f t="shared" si="0"/>
        <v>90</v>
      </c>
      <c r="P5" s="10">
        <f t="shared" si="0"/>
        <v>90</v>
      </c>
      <c r="Q5" s="10">
        <f t="shared" si="0"/>
        <v>90</v>
      </c>
      <c r="R5" s="10">
        <f t="shared" si="0"/>
        <v>90</v>
      </c>
      <c r="S5" s="10">
        <f t="shared" si="0"/>
        <v>90</v>
      </c>
      <c r="T5" s="10">
        <f t="shared" si="0"/>
        <v>90</v>
      </c>
      <c r="U5" s="10">
        <f t="shared" si="0"/>
        <v>90</v>
      </c>
      <c r="V5" s="10">
        <f t="shared" si="0"/>
        <v>90</v>
      </c>
      <c r="W5" s="10">
        <f t="shared" si="0"/>
        <v>90</v>
      </c>
      <c r="X5" s="10">
        <f t="shared" si="0"/>
        <v>90</v>
      </c>
      <c r="Y5" s="10">
        <f t="shared" si="0"/>
        <v>90</v>
      </c>
      <c r="Z5" s="10">
        <f t="shared" si="0"/>
        <v>90</v>
      </c>
      <c r="AA5" s="10">
        <f t="shared" si="0"/>
        <v>90</v>
      </c>
      <c r="AB5" s="10">
        <f t="shared" si="0"/>
        <v>90</v>
      </c>
      <c r="AC5" s="10">
        <f t="shared" si="0"/>
        <v>90</v>
      </c>
      <c r="AD5" s="10">
        <f t="shared" si="0"/>
        <v>90</v>
      </c>
      <c r="AE5" s="10">
        <f t="shared" si="0"/>
        <v>90</v>
      </c>
      <c r="AF5" s="10">
        <f t="shared" si="1"/>
        <v>90</v>
      </c>
      <c r="AG5" s="10">
        <f t="shared" si="1"/>
        <v>90</v>
      </c>
      <c r="AH5" s="191">
        <f t="shared" si="1"/>
        <v>90</v>
      </c>
    </row>
    <row r="6" spans="1:125" ht="17.25" customHeight="1" outlineLevel="1">
      <c r="A6" s="169" t="s">
        <v>127</v>
      </c>
      <c r="C6" s="190">
        <v>5</v>
      </c>
      <c r="D6" s="126" t="str">
        <f>IF($C6=1,"si","no")</f>
        <v>no</v>
      </c>
      <c r="E6" s="126" t="str">
        <f>IF($C6=1,"si",IF($C6=2,"si","no"))</f>
        <v>no</v>
      </c>
      <c r="F6" s="126" t="str">
        <f>IF($C6=1,"si",IF($C6=3,"si","no"))</f>
        <v>no</v>
      </c>
      <c r="G6" s="126" t="str">
        <f>IF($C6=1,"si",IF($C6=2,"si",IF($C6=4,"si","no")))</f>
        <v>no</v>
      </c>
      <c r="H6" s="126" t="str">
        <f>IF($C6=1,"si",IF($C6=5,"si","no"))</f>
        <v>si</v>
      </c>
      <c r="I6" s="126" t="str">
        <f>IF($C6=1,"si",IF($C6=2,"si",IF($C6=3,"si","no")))</f>
        <v>no</v>
      </c>
      <c r="J6" s="126" t="str">
        <f>IF($C6=1,"si","no")</f>
        <v>no</v>
      </c>
      <c r="K6" s="126" t="str">
        <f>IF($C6=1,"si",IF($C6=2,"si",IF($C6=4,"si","no")))</f>
        <v>no</v>
      </c>
      <c r="L6" s="126" t="str">
        <f>IF($C6=1,"si",IF($C6=3,"si","no"))</f>
        <v>no</v>
      </c>
      <c r="M6" s="126" t="str">
        <f>IF($C6=1,"si",IF($C6=2,"si",IF($C6=5,"si","no")))</f>
        <v>si</v>
      </c>
      <c r="N6" s="126" t="str">
        <f>IF($C6=1,"si","no")</f>
        <v>no</v>
      </c>
      <c r="O6" s="126" t="str">
        <f>IF($C6=1,"si",IF($C6=2,"si",IF($C6=3,"si",IF($C6=4,"si","no"))))</f>
        <v>no</v>
      </c>
      <c r="P6" s="126" t="str">
        <f>IF($C6=1,"si","no")</f>
        <v>no</v>
      </c>
      <c r="Q6" s="126" t="str">
        <f>IF($C6=1,"si",IF($C6=2,"si","no"))</f>
        <v>no</v>
      </c>
      <c r="R6" s="126" t="str">
        <f>IF($C6=1,"si",IF($C6=3,"si",IF($C6=5,"si","no")))</f>
        <v>si</v>
      </c>
      <c r="S6" s="126" t="str">
        <f>IF($C6=1,"si",IF($C6=2,"si",IF($C6=4,"si","no")))</f>
        <v>no</v>
      </c>
      <c r="T6" s="126" t="str">
        <f>IF($C6=1,"si","no")</f>
        <v>no</v>
      </c>
      <c r="U6" s="126" t="str">
        <f>IF($C6=1,"si",IF($C6=2,"si",IF($C6=3,"si","no")))</f>
        <v>no</v>
      </c>
      <c r="V6" s="126" t="str">
        <f>IF($C6=1,"si","no")</f>
        <v>no</v>
      </c>
      <c r="W6" s="126" t="str">
        <f>IF($C6=1,"si",IF($C6=2,"si",IF($C6=4,"si",IF($C6=5,"si","no"))))</f>
        <v>si</v>
      </c>
      <c r="X6" s="126" t="str">
        <f>IF($C6=1,"si",IF($C6=3,"si","no"))</f>
        <v>no</v>
      </c>
      <c r="Y6" s="126" t="str">
        <f>IF($C6=1,"si",IF($C6=2,"si","no"))</f>
        <v>no</v>
      </c>
      <c r="Z6" s="126" t="str">
        <f>IF($C6=1,"si","no")</f>
        <v>no</v>
      </c>
      <c r="AA6" s="126" t="str">
        <f>IF($C6=1,"si",IF($C6=2,"si",IF($C6=3,"si",IF($C6=4,"si","no"))))</f>
        <v>no</v>
      </c>
      <c r="AB6" s="126" t="str">
        <f>IF($C6=1,"si",IF($C6=5,"si","no"))</f>
        <v>si</v>
      </c>
      <c r="AC6" s="126" t="str">
        <f>IF($C6=1,"si",IF($C6=2,"si","no"))</f>
        <v>no</v>
      </c>
      <c r="AD6" s="126" t="str">
        <f>IF($C6=1,"si",IF($C6=3,"si","no"))</f>
        <v>no</v>
      </c>
      <c r="AE6" s="126" t="str">
        <f>IF($C6=1,"si",IF($C6=2,"si",IF($C6=4,"si","no")))</f>
        <v>no</v>
      </c>
      <c r="AF6" s="126" t="str">
        <f>IF($C6=1,"si","no")</f>
        <v>no</v>
      </c>
      <c r="AG6" s="126" t="str">
        <f>IF($C6=1,"si",IF($C6=2,"si",IF($C6=4,"si","no")))</f>
        <v>no</v>
      </c>
      <c r="AH6" s="256" t="str">
        <f>IF($C6=1,"si","no")</f>
        <v>no</v>
      </c>
    </row>
    <row r="7" spans="1:125" ht="17.25" customHeight="1" outlineLevel="1">
      <c r="A7" s="192" t="s">
        <v>611</v>
      </c>
      <c r="B7" s="193">
        <v>250000</v>
      </c>
      <c r="C7" s="226">
        <f>Ricavi!B13*1/100</f>
        <v>3000</v>
      </c>
      <c r="D7" s="226">
        <f>Ricavi!C13*1/100</f>
        <v>5000</v>
      </c>
      <c r="E7" s="226">
        <f>Ricavi!D13*1/100</f>
        <v>5000</v>
      </c>
      <c r="F7" s="226">
        <f>Ricavi!E13*1/100</f>
        <v>5000</v>
      </c>
      <c r="G7" s="226">
        <f>Ricavi!F13*1/100</f>
        <v>5000</v>
      </c>
      <c r="H7" s="226">
        <f>Ricavi!G13*1/100</f>
        <v>5000</v>
      </c>
      <c r="I7" s="226">
        <f>Ricavi!H13*1/100</f>
        <v>5000</v>
      </c>
      <c r="J7" s="226">
        <f>Ricavi!I13*1/100</f>
        <v>5000</v>
      </c>
      <c r="K7" s="226">
        <f>Ricavi!J13*1/100</f>
        <v>5000</v>
      </c>
      <c r="L7" s="226">
        <f>Ricavi!K13*1/100</f>
        <v>5000</v>
      </c>
      <c r="M7" s="226">
        <f>Ricavi!L13*1/100</f>
        <v>5000</v>
      </c>
      <c r="N7" s="226">
        <f>Ricavi!M13*1/100</f>
        <v>5000</v>
      </c>
      <c r="O7" s="226">
        <f>Ricavi!N13*1/100</f>
        <v>5000</v>
      </c>
      <c r="P7" s="226">
        <f>Ricavi!O13*1/100</f>
        <v>5000</v>
      </c>
      <c r="Q7" s="226">
        <f>Ricavi!P13*1/100</f>
        <v>5000</v>
      </c>
      <c r="R7" s="226">
        <f>Ricavi!Q13*1/100</f>
        <v>5000</v>
      </c>
      <c r="S7" s="226">
        <f>Ricavi!R13*1/100</f>
        <v>5000</v>
      </c>
      <c r="T7" s="226">
        <f>Ricavi!S13*1/100</f>
        <v>5000</v>
      </c>
      <c r="U7" s="226">
        <f>Ricavi!T13*1/100</f>
        <v>5000</v>
      </c>
      <c r="V7" s="226">
        <f>Ricavi!U13*1/100</f>
        <v>5000</v>
      </c>
      <c r="W7" s="226">
        <f>Ricavi!V13*1/100</f>
        <v>5000</v>
      </c>
      <c r="X7" s="226">
        <f>Ricavi!W13*1/100</f>
        <v>5000</v>
      </c>
      <c r="Y7" s="226">
        <f>Ricavi!X13*1/100</f>
        <v>5000</v>
      </c>
      <c r="Z7" s="226">
        <f>Ricavi!Y13*1/100</f>
        <v>5000</v>
      </c>
      <c r="AA7" s="226">
        <f>Ricavi!Z13*1/100</f>
        <v>5000</v>
      </c>
      <c r="AB7" s="226">
        <f>Ricavi!AA13*1/100</f>
        <v>5000</v>
      </c>
      <c r="AC7" s="226">
        <f>Ricavi!AB13*1/100</f>
        <v>5000</v>
      </c>
      <c r="AD7" s="226">
        <f>Ricavi!AC13*1/100</f>
        <v>5000</v>
      </c>
      <c r="AE7" s="226">
        <f>Ricavi!AD13*1/100</f>
        <v>5000</v>
      </c>
      <c r="AF7" s="226">
        <f>Ricavi!AE13*1/100</f>
        <v>5000</v>
      </c>
      <c r="AG7" s="226">
        <f>Ricavi!AF13*1/100</f>
        <v>5000</v>
      </c>
      <c r="AH7" s="273">
        <f>Ricavi!AG13*1/100</f>
        <v>5000</v>
      </c>
    </row>
    <row r="8" spans="1:125" ht="12" customHeight="1" outlineLevel="1"/>
    <row r="9" spans="1:125" ht="17.25" customHeight="1" outlineLevel="1">
      <c r="A9" s="163" t="s">
        <v>47</v>
      </c>
      <c r="B9" s="194">
        <v>0</v>
      </c>
      <c r="C9" s="195">
        <v>0</v>
      </c>
      <c r="D9" s="195">
        <v>1.7000000000000001E-2</v>
      </c>
      <c r="E9" s="196">
        <f t="shared" ref="E9:AF9" si="3">D9</f>
        <v>1.7000000000000001E-2</v>
      </c>
      <c r="F9" s="196">
        <f t="shared" si="3"/>
        <v>1.7000000000000001E-2</v>
      </c>
      <c r="G9" s="196">
        <f t="shared" si="3"/>
        <v>1.7000000000000001E-2</v>
      </c>
      <c r="H9" s="196">
        <f t="shared" si="3"/>
        <v>1.7000000000000001E-2</v>
      </c>
      <c r="I9" s="196">
        <f t="shared" si="3"/>
        <v>1.7000000000000001E-2</v>
      </c>
      <c r="J9" s="196">
        <f t="shared" si="3"/>
        <v>1.7000000000000001E-2</v>
      </c>
      <c r="K9" s="196">
        <f t="shared" si="3"/>
        <v>1.7000000000000001E-2</v>
      </c>
      <c r="L9" s="196">
        <f t="shared" si="3"/>
        <v>1.7000000000000001E-2</v>
      </c>
      <c r="M9" s="196">
        <f t="shared" si="3"/>
        <v>1.7000000000000001E-2</v>
      </c>
      <c r="N9" s="196">
        <f t="shared" si="3"/>
        <v>1.7000000000000001E-2</v>
      </c>
      <c r="O9" s="196">
        <f t="shared" si="3"/>
        <v>1.7000000000000001E-2</v>
      </c>
      <c r="P9" s="196">
        <f t="shared" si="3"/>
        <v>1.7000000000000001E-2</v>
      </c>
      <c r="Q9" s="196">
        <f t="shared" si="3"/>
        <v>1.7000000000000001E-2</v>
      </c>
      <c r="R9" s="196">
        <f t="shared" si="3"/>
        <v>1.7000000000000001E-2</v>
      </c>
      <c r="S9" s="196">
        <f t="shared" si="3"/>
        <v>1.7000000000000001E-2</v>
      </c>
      <c r="T9" s="196">
        <f t="shared" si="3"/>
        <v>1.7000000000000001E-2</v>
      </c>
      <c r="U9" s="196">
        <f t="shared" si="3"/>
        <v>1.7000000000000001E-2</v>
      </c>
      <c r="V9" s="196">
        <f t="shared" si="3"/>
        <v>1.7000000000000001E-2</v>
      </c>
      <c r="W9" s="196">
        <f t="shared" si="3"/>
        <v>1.7000000000000001E-2</v>
      </c>
      <c r="X9" s="196">
        <f t="shared" si="3"/>
        <v>1.7000000000000001E-2</v>
      </c>
      <c r="Y9" s="196">
        <f t="shared" si="3"/>
        <v>1.7000000000000001E-2</v>
      </c>
      <c r="Z9" s="196">
        <f t="shared" si="3"/>
        <v>1.7000000000000001E-2</v>
      </c>
      <c r="AA9" s="196">
        <f t="shared" si="3"/>
        <v>1.7000000000000001E-2</v>
      </c>
      <c r="AB9" s="196">
        <f t="shared" si="3"/>
        <v>1.7000000000000001E-2</v>
      </c>
      <c r="AC9" s="196">
        <f t="shared" si="3"/>
        <v>1.7000000000000001E-2</v>
      </c>
      <c r="AD9" s="196">
        <f t="shared" si="3"/>
        <v>1.7000000000000001E-2</v>
      </c>
      <c r="AE9" s="196">
        <f t="shared" si="3"/>
        <v>1.7000000000000001E-2</v>
      </c>
      <c r="AF9" s="196">
        <f t="shared" si="3"/>
        <v>1.7000000000000001E-2</v>
      </c>
      <c r="AG9" s="196">
        <f>AF9</f>
        <v>1.7000000000000001E-2</v>
      </c>
      <c r="AH9" s="197">
        <f>AG9</f>
        <v>1.7000000000000001E-2</v>
      </c>
    </row>
    <row r="10" spans="1:125" ht="17.25" customHeight="1" outlineLevel="1">
      <c r="A10" s="198" t="s">
        <v>58</v>
      </c>
      <c r="B10" s="264">
        <f>1+B9</f>
        <v>1</v>
      </c>
      <c r="C10" s="265">
        <f>1+C9</f>
        <v>1</v>
      </c>
      <c r="D10" s="265">
        <f t="shared" ref="D10:AF10" si="4">C10*(1+D9)</f>
        <v>1.0169999999999999</v>
      </c>
      <c r="E10" s="265">
        <f>D10*(1+E9)</f>
        <v>1.0342889999999998</v>
      </c>
      <c r="F10" s="265">
        <f t="shared" si="4"/>
        <v>1.0518719129999996</v>
      </c>
      <c r="G10" s="265">
        <f t="shared" si="4"/>
        <v>1.0697537355209994</v>
      </c>
      <c r="H10" s="265">
        <f t="shared" si="4"/>
        <v>1.0879395490248562</v>
      </c>
      <c r="I10" s="265">
        <f t="shared" si="4"/>
        <v>1.1064345213582787</v>
      </c>
      <c r="J10" s="265">
        <f t="shared" si="4"/>
        <v>1.1252439082213692</v>
      </c>
      <c r="K10" s="265">
        <f t="shared" si="4"/>
        <v>1.1443730546611324</v>
      </c>
      <c r="L10" s="265">
        <f t="shared" si="4"/>
        <v>1.1638273965903716</v>
      </c>
      <c r="M10" s="265">
        <f t="shared" si="4"/>
        <v>1.1836124623324078</v>
      </c>
      <c r="N10" s="265">
        <f t="shared" si="4"/>
        <v>1.2037338741920587</v>
      </c>
      <c r="O10" s="265">
        <f t="shared" si="4"/>
        <v>1.2241973500533236</v>
      </c>
      <c r="P10" s="265">
        <f t="shared" si="4"/>
        <v>1.24500870500423</v>
      </c>
      <c r="Q10" s="265">
        <f t="shared" si="4"/>
        <v>1.2661738529893019</v>
      </c>
      <c r="R10" s="265">
        <f t="shared" si="4"/>
        <v>1.2876988084901198</v>
      </c>
      <c r="S10" s="265">
        <f t="shared" si="4"/>
        <v>1.3095896882344518</v>
      </c>
      <c r="T10" s="265">
        <f t="shared" si="4"/>
        <v>1.3318527129344373</v>
      </c>
      <c r="U10" s="265">
        <f t="shared" si="4"/>
        <v>1.3544942090543226</v>
      </c>
      <c r="V10" s="265">
        <f t="shared" si="4"/>
        <v>1.377520610608246</v>
      </c>
      <c r="W10" s="265">
        <f t="shared" si="4"/>
        <v>1.400938460988586</v>
      </c>
      <c r="X10" s="265">
        <f t="shared" si="4"/>
        <v>1.4247544148253919</v>
      </c>
      <c r="Y10" s="265">
        <f t="shared" si="4"/>
        <v>1.4489752398774234</v>
      </c>
      <c r="Z10" s="265">
        <f t="shared" si="4"/>
        <v>1.4736078189553394</v>
      </c>
      <c r="AA10" s="265">
        <f t="shared" si="4"/>
        <v>1.49865915187758</v>
      </c>
      <c r="AB10" s="265">
        <f t="shared" si="4"/>
        <v>1.5241363574594988</v>
      </c>
      <c r="AC10" s="265">
        <f t="shared" si="4"/>
        <v>1.5500466755363103</v>
      </c>
      <c r="AD10" s="265">
        <f t="shared" si="4"/>
        <v>1.5763974690204274</v>
      </c>
      <c r="AE10" s="265">
        <f t="shared" si="4"/>
        <v>1.6031962259937746</v>
      </c>
      <c r="AF10" s="265">
        <f t="shared" si="4"/>
        <v>1.6304505618356686</v>
      </c>
      <c r="AG10" s="265">
        <f>AF10*(1+AG9)</f>
        <v>1.6581682213868749</v>
      </c>
      <c r="AH10" s="266">
        <f>AG10*(1+AH9)</f>
        <v>1.6863570811504516</v>
      </c>
    </row>
    <row r="11" spans="1:125" ht="12" customHeight="1" outlineLevel="1">
      <c r="B11" s="43"/>
    </row>
    <row r="12" spans="1:125" ht="17.25" customHeight="1" outlineLevel="1">
      <c r="A12" s="199" t="s">
        <v>48</v>
      </c>
      <c r="B12" s="200">
        <v>0</v>
      </c>
      <c r="C12" s="201">
        <v>0</v>
      </c>
      <c r="D12" s="200">
        <v>0</v>
      </c>
      <c r="E12" s="200">
        <v>0</v>
      </c>
      <c r="F12" s="200">
        <v>0</v>
      </c>
      <c r="G12" s="200">
        <v>0</v>
      </c>
      <c r="H12" s="200">
        <v>0</v>
      </c>
      <c r="I12" s="200">
        <v>0</v>
      </c>
      <c r="J12" s="200">
        <v>0</v>
      </c>
      <c r="K12" s="200">
        <v>0</v>
      </c>
      <c r="L12" s="200">
        <v>0</v>
      </c>
      <c r="M12" s="200">
        <v>0</v>
      </c>
      <c r="N12" s="200">
        <v>0</v>
      </c>
      <c r="O12" s="200">
        <v>0</v>
      </c>
      <c r="P12" s="200">
        <v>0</v>
      </c>
      <c r="Q12" s="200">
        <v>0</v>
      </c>
      <c r="R12" s="200">
        <v>0</v>
      </c>
      <c r="S12" s="200">
        <v>0</v>
      </c>
      <c r="T12" s="200">
        <v>0</v>
      </c>
      <c r="U12" s="200">
        <v>0</v>
      </c>
      <c r="V12" s="200">
        <v>0</v>
      </c>
      <c r="W12" s="200">
        <v>0</v>
      </c>
      <c r="X12" s="200">
        <v>0</v>
      </c>
      <c r="Y12" s="200">
        <v>0</v>
      </c>
      <c r="Z12" s="200">
        <v>0</v>
      </c>
      <c r="AA12" s="200">
        <v>0</v>
      </c>
      <c r="AB12" s="200">
        <v>0</v>
      </c>
      <c r="AC12" s="200">
        <v>0</v>
      </c>
      <c r="AD12" s="200">
        <v>0</v>
      </c>
      <c r="AE12" s="200">
        <v>0</v>
      </c>
      <c r="AF12" s="200">
        <v>0</v>
      </c>
      <c r="AG12" s="200">
        <v>0</v>
      </c>
      <c r="AH12" s="257">
        <v>0</v>
      </c>
    </row>
    <row r="13" spans="1:125" ht="12" customHeight="1" outlineLevel="1"/>
    <row r="14" spans="1:125" ht="17.25" customHeight="1" outlineLevel="1">
      <c r="A14" s="163" t="s">
        <v>107</v>
      </c>
      <c r="B14" s="194">
        <v>0.02</v>
      </c>
      <c r="C14" s="195">
        <v>0.03</v>
      </c>
      <c r="D14" s="196">
        <f t="shared" ref="D14:AE14" si="5">C14</f>
        <v>0.03</v>
      </c>
      <c r="E14" s="196">
        <f t="shared" si="5"/>
        <v>0.03</v>
      </c>
      <c r="F14" s="196">
        <f t="shared" si="5"/>
        <v>0.03</v>
      </c>
      <c r="G14" s="196">
        <f t="shared" si="5"/>
        <v>0.03</v>
      </c>
      <c r="H14" s="196">
        <f t="shared" si="5"/>
        <v>0.03</v>
      </c>
      <c r="I14" s="196">
        <f t="shared" si="5"/>
        <v>0.03</v>
      </c>
      <c r="J14" s="196">
        <f t="shared" si="5"/>
        <v>0.03</v>
      </c>
      <c r="K14" s="196">
        <f t="shared" si="5"/>
        <v>0.03</v>
      </c>
      <c r="L14" s="196">
        <f t="shared" si="5"/>
        <v>0.03</v>
      </c>
      <c r="M14" s="196">
        <f t="shared" si="5"/>
        <v>0.03</v>
      </c>
      <c r="N14" s="196">
        <f t="shared" si="5"/>
        <v>0.03</v>
      </c>
      <c r="O14" s="196">
        <f t="shared" si="5"/>
        <v>0.03</v>
      </c>
      <c r="P14" s="196">
        <f t="shared" si="5"/>
        <v>0.03</v>
      </c>
      <c r="Q14" s="196">
        <f t="shared" si="5"/>
        <v>0.03</v>
      </c>
      <c r="R14" s="196">
        <f t="shared" si="5"/>
        <v>0.03</v>
      </c>
      <c r="S14" s="196">
        <f t="shared" si="5"/>
        <v>0.03</v>
      </c>
      <c r="T14" s="196">
        <f t="shared" si="5"/>
        <v>0.03</v>
      </c>
      <c r="U14" s="196">
        <f t="shared" si="5"/>
        <v>0.03</v>
      </c>
      <c r="V14" s="196">
        <f t="shared" si="5"/>
        <v>0.03</v>
      </c>
      <c r="W14" s="196">
        <f t="shared" si="5"/>
        <v>0.03</v>
      </c>
      <c r="X14" s="196">
        <f t="shared" si="5"/>
        <v>0.03</v>
      </c>
      <c r="Y14" s="196">
        <f t="shared" si="5"/>
        <v>0.03</v>
      </c>
      <c r="Z14" s="196">
        <f t="shared" si="5"/>
        <v>0.03</v>
      </c>
      <c r="AA14" s="196">
        <f t="shared" si="5"/>
        <v>0.03</v>
      </c>
      <c r="AB14" s="196">
        <f t="shared" si="5"/>
        <v>0.03</v>
      </c>
      <c r="AC14" s="196">
        <f t="shared" si="5"/>
        <v>0.03</v>
      </c>
      <c r="AD14" s="196">
        <f t="shared" si="5"/>
        <v>0.03</v>
      </c>
      <c r="AE14" s="196">
        <f t="shared" si="5"/>
        <v>0.03</v>
      </c>
      <c r="AF14" s="196">
        <f t="shared" ref="AF14:AH15" si="6">AE14</f>
        <v>0.03</v>
      </c>
      <c r="AG14" s="196">
        <f t="shared" si="6"/>
        <v>0.03</v>
      </c>
      <c r="AH14" s="197">
        <f t="shared" si="6"/>
        <v>0.03</v>
      </c>
    </row>
    <row r="15" spans="1:125" ht="17.25" customHeight="1" outlineLevel="1">
      <c r="A15" s="198" t="s">
        <v>108</v>
      </c>
      <c r="B15" s="202">
        <v>5.5E-2</v>
      </c>
      <c r="C15" s="203">
        <v>5.5E-2</v>
      </c>
      <c r="D15" s="204">
        <f t="shared" ref="D15:AE15" si="7">C15</f>
        <v>5.5E-2</v>
      </c>
      <c r="E15" s="204">
        <f t="shared" si="7"/>
        <v>5.5E-2</v>
      </c>
      <c r="F15" s="204">
        <f t="shared" si="7"/>
        <v>5.5E-2</v>
      </c>
      <c r="G15" s="204">
        <f t="shared" si="7"/>
        <v>5.5E-2</v>
      </c>
      <c r="H15" s="204">
        <f t="shared" si="7"/>
        <v>5.5E-2</v>
      </c>
      <c r="I15" s="204">
        <f t="shared" si="7"/>
        <v>5.5E-2</v>
      </c>
      <c r="J15" s="204">
        <f t="shared" si="7"/>
        <v>5.5E-2</v>
      </c>
      <c r="K15" s="204">
        <f t="shared" si="7"/>
        <v>5.5E-2</v>
      </c>
      <c r="L15" s="204">
        <f t="shared" si="7"/>
        <v>5.5E-2</v>
      </c>
      <c r="M15" s="204">
        <f t="shared" si="7"/>
        <v>5.5E-2</v>
      </c>
      <c r="N15" s="204">
        <f t="shared" si="7"/>
        <v>5.5E-2</v>
      </c>
      <c r="O15" s="204">
        <f t="shared" si="7"/>
        <v>5.5E-2</v>
      </c>
      <c r="P15" s="204">
        <f t="shared" si="7"/>
        <v>5.5E-2</v>
      </c>
      <c r="Q15" s="204">
        <f t="shared" si="7"/>
        <v>5.5E-2</v>
      </c>
      <c r="R15" s="204">
        <f t="shared" si="7"/>
        <v>5.5E-2</v>
      </c>
      <c r="S15" s="204">
        <f t="shared" si="7"/>
        <v>5.5E-2</v>
      </c>
      <c r="T15" s="204">
        <f t="shared" si="7"/>
        <v>5.5E-2</v>
      </c>
      <c r="U15" s="204">
        <f t="shared" si="7"/>
        <v>5.5E-2</v>
      </c>
      <c r="V15" s="204">
        <f t="shared" si="7"/>
        <v>5.5E-2</v>
      </c>
      <c r="W15" s="204">
        <f t="shared" si="7"/>
        <v>5.5E-2</v>
      </c>
      <c r="X15" s="204">
        <f t="shared" si="7"/>
        <v>5.5E-2</v>
      </c>
      <c r="Y15" s="204">
        <f t="shared" si="7"/>
        <v>5.5E-2</v>
      </c>
      <c r="Z15" s="204">
        <f t="shared" si="7"/>
        <v>5.5E-2</v>
      </c>
      <c r="AA15" s="204">
        <f t="shared" si="7"/>
        <v>5.5E-2</v>
      </c>
      <c r="AB15" s="204">
        <f t="shared" si="7"/>
        <v>5.5E-2</v>
      </c>
      <c r="AC15" s="204">
        <f t="shared" si="7"/>
        <v>5.5E-2</v>
      </c>
      <c r="AD15" s="204">
        <f t="shared" si="7"/>
        <v>5.5E-2</v>
      </c>
      <c r="AE15" s="204">
        <f t="shared" si="7"/>
        <v>5.5E-2</v>
      </c>
      <c r="AF15" s="204">
        <f t="shared" si="6"/>
        <v>5.5E-2</v>
      </c>
      <c r="AG15" s="204">
        <f t="shared" si="6"/>
        <v>5.5E-2</v>
      </c>
      <c r="AH15" s="205">
        <f t="shared" si="6"/>
        <v>5.5E-2</v>
      </c>
    </row>
    <row r="16" spans="1:125" ht="12" customHeight="1" outlineLevel="1">
      <c r="A16" s="2"/>
      <c r="B16" s="158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</row>
    <row r="17" spans="1:34" ht="17.25" customHeight="1" outlineLevel="1">
      <c r="A17" s="163" t="s">
        <v>181</v>
      </c>
      <c r="B17" s="216"/>
      <c r="C17" s="206">
        <v>0</v>
      </c>
      <c r="D17" s="206">
        <v>0</v>
      </c>
      <c r="E17" s="206">
        <v>0</v>
      </c>
      <c r="F17" s="206">
        <v>0</v>
      </c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4"/>
      <c r="AH17" s="215"/>
    </row>
    <row r="18" spans="1:34" ht="17.25" customHeight="1" outlineLevel="1">
      <c r="A18" s="207" t="s">
        <v>109</v>
      </c>
      <c r="B18" s="217"/>
      <c r="C18" s="130">
        <v>0.06</v>
      </c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1"/>
    </row>
    <row r="19" spans="1:34" ht="17.25" customHeight="1" outlineLevel="1">
      <c r="A19" s="198" t="s">
        <v>110</v>
      </c>
      <c r="B19" s="218"/>
      <c r="C19" s="208">
        <v>10</v>
      </c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3"/>
    </row>
    <row r="20" spans="1:34" ht="12" customHeight="1" outlineLevel="1">
      <c r="A20" s="2"/>
      <c r="C20" s="157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</row>
    <row r="21" spans="1:34" ht="17.25" customHeight="1" outlineLevel="1">
      <c r="A21" s="199" t="s">
        <v>943</v>
      </c>
      <c r="B21" s="219"/>
      <c r="C21" s="491">
        <f t="shared" ref="C21:H21" si="8">+C22</f>
        <v>50000</v>
      </c>
      <c r="D21" s="491">
        <f t="shared" si="8"/>
        <v>0</v>
      </c>
      <c r="E21" s="209">
        <f t="shared" si="8"/>
        <v>0</v>
      </c>
      <c r="F21" s="209">
        <f t="shared" si="8"/>
        <v>0</v>
      </c>
      <c r="G21" s="209">
        <f t="shared" si="8"/>
        <v>0</v>
      </c>
      <c r="H21" s="209">
        <f t="shared" si="8"/>
        <v>0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1"/>
    </row>
    <row r="22" spans="1:34" ht="17.25" customHeight="1" outlineLevel="1">
      <c r="A22" s="493" t="s">
        <v>941</v>
      </c>
      <c r="B22" s="492"/>
      <c r="C22" s="496">
        <v>50000</v>
      </c>
      <c r="D22" s="496">
        <v>0</v>
      </c>
      <c r="E22" s="496">
        <v>0</v>
      </c>
      <c r="F22" s="496">
        <v>0</v>
      </c>
      <c r="G22" s="496">
        <v>0</v>
      </c>
      <c r="H22" s="496">
        <v>0</v>
      </c>
      <c r="I22" s="497"/>
      <c r="J22" s="497"/>
      <c r="K22" s="497"/>
      <c r="L22" s="497"/>
      <c r="M22" s="497"/>
      <c r="N22" s="497"/>
      <c r="O22" s="497"/>
      <c r="P22" s="497"/>
      <c r="Q22" s="497"/>
      <c r="R22" s="497"/>
      <c r="S22" s="497"/>
      <c r="T22" s="497"/>
      <c r="U22" s="497"/>
      <c r="V22" s="497"/>
      <c r="W22" s="497"/>
      <c r="X22" s="497"/>
      <c r="Y22" s="497"/>
      <c r="Z22" s="497"/>
      <c r="AA22" s="497"/>
      <c r="AB22" s="497"/>
      <c r="AC22" s="497"/>
      <c r="AD22" s="497"/>
      <c r="AE22" s="497"/>
      <c r="AF22" s="497"/>
      <c r="AG22" s="497"/>
      <c r="AH22" s="498"/>
    </row>
    <row r="23" spans="1:34" ht="17.25" customHeight="1" outlineLevel="1">
      <c r="A23" s="199" t="s">
        <v>945</v>
      </c>
      <c r="B23" s="219"/>
      <c r="C23" s="491">
        <f t="shared" ref="C23:H23" si="9">+C24</f>
        <v>99185.428543820715</v>
      </c>
      <c r="D23" s="491">
        <f t="shared" si="9"/>
        <v>250814.57145617943</v>
      </c>
      <c r="E23" s="209">
        <f t="shared" si="9"/>
        <v>0</v>
      </c>
      <c r="F23" s="209">
        <f t="shared" si="9"/>
        <v>0</v>
      </c>
      <c r="G23" s="209">
        <f t="shared" si="9"/>
        <v>0</v>
      </c>
      <c r="H23" s="209">
        <f t="shared" si="9"/>
        <v>0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1"/>
    </row>
    <row r="24" spans="1:34" ht="36" customHeight="1">
      <c r="A24" s="494" t="s">
        <v>942</v>
      </c>
      <c r="B24" s="495"/>
      <c r="C24" s="499">
        <f>+'quote Comuni_hp'!S14-C22</f>
        <v>99185.428543820715</v>
      </c>
      <c r="D24" s="499">
        <f>+'quote Comuni_hp'!T14</f>
        <v>250814.57145617943</v>
      </c>
      <c r="E24" s="500">
        <v>0</v>
      </c>
      <c r="F24" s="500">
        <v>0</v>
      </c>
      <c r="G24" s="500">
        <v>0</v>
      </c>
      <c r="H24" s="500">
        <v>0</v>
      </c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3"/>
    </row>
    <row r="25" spans="1:34" ht="17.25" customHeight="1" outlineLevel="1">
      <c r="A25" s="222" t="s">
        <v>112</v>
      </c>
      <c r="B25" s="225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5"/>
    </row>
    <row r="26" spans="1:34" ht="28.5" outlineLevel="1">
      <c r="A26" s="255" t="s">
        <v>940</v>
      </c>
      <c r="B26" s="224"/>
      <c r="C26" s="415">
        <v>300000</v>
      </c>
      <c r="D26" s="415"/>
      <c r="E26" s="270">
        <v>0</v>
      </c>
      <c r="F26" s="270">
        <v>0</v>
      </c>
      <c r="G26" s="270">
        <v>0</v>
      </c>
      <c r="H26" s="270">
        <v>0</v>
      </c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213"/>
    </row>
    <row r="27" spans="1:34" ht="12" customHeight="1">
      <c r="B27" s="4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</row>
    <row r="28" spans="1:34" ht="17.25" customHeight="1">
      <c r="A28" s="163" t="s">
        <v>121</v>
      </c>
      <c r="B28" s="216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49"/>
      <c r="AG28" s="249"/>
      <c r="AH28" s="250"/>
    </row>
    <row r="29" spans="1:34" ht="17.25" hidden="1" customHeight="1" outlineLevel="1">
      <c r="A29" s="507" t="s">
        <v>955</v>
      </c>
      <c r="B29" s="508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509"/>
    </row>
    <row r="30" spans="1:34" ht="17.25" hidden="1" customHeight="1" outlineLevel="1">
      <c r="A30" s="169" t="s">
        <v>1</v>
      </c>
      <c r="B30" s="247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1"/>
      <c r="Y30" s="271"/>
      <c r="Z30" s="271"/>
      <c r="AA30" s="271"/>
      <c r="AB30" s="271"/>
      <c r="AC30" s="271"/>
      <c r="AD30" s="271"/>
      <c r="AE30" s="271"/>
      <c r="AF30" s="271"/>
      <c r="AG30" s="271"/>
      <c r="AH30" s="272"/>
    </row>
    <row r="31" spans="1:34" ht="17.25" hidden="1" customHeight="1" outlineLevel="1">
      <c r="A31" s="169" t="s">
        <v>0</v>
      </c>
      <c r="B31" s="247"/>
      <c r="C31" s="271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71"/>
      <c r="X31" s="271"/>
      <c r="Y31" s="271"/>
      <c r="Z31" s="271"/>
      <c r="AA31" s="271"/>
      <c r="AB31" s="271"/>
      <c r="AC31" s="271"/>
      <c r="AD31" s="271"/>
      <c r="AE31" s="271"/>
      <c r="AF31" s="271"/>
      <c r="AG31" s="271"/>
      <c r="AH31" s="272"/>
    </row>
    <row r="32" spans="1:34" ht="17.25" hidden="1" customHeight="1" outlineLevel="1">
      <c r="A32" s="169" t="s">
        <v>141</v>
      </c>
      <c r="B32" s="247"/>
      <c r="C32" s="271"/>
      <c r="D32" s="271"/>
      <c r="E32" s="271"/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271"/>
      <c r="X32" s="271"/>
      <c r="Y32" s="271"/>
      <c r="Z32" s="271"/>
      <c r="AA32" s="271"/>
      <c r="AB32" s="271"/>
      <c r="AC32" s="271"/>
      <c r="AD32" s="271"/>
      <c r="AE32" s="271"/>
      <c r="AF32" s="271"/>
      <c r="AG32" s="271"/>
      <c r="AH32" s="272"/>
    </row>
    <row r="33" spans="1:34" ht="17.25" hidden="1" customHeight="1" outlineLevel="1">
      <c r="A33" s="169" t="s">
        <v>59</v>
      </c>
      <c r="B33" s="247"/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1"/>
      <c r="Y33" s="271"/>
      <c r="Z33" s="271"/>
      <c r="AA33" s="271"/>
      <c r="AB33" s="271"/>
      <c r="AC33" s="271"/>
      <c r="AD33" s="271"/>
      <c r="AE33" s="271"/>
      <c r="AF33" s="271"/>
      <c r="AG33" s="271"/>
      <c r="AH33" s="272"/>
    </row>
    <row r="34" spans="1:34" ht="17.25" hidden="1" customHeight="1" outlineLevel="1">
      <c r="A34" s="169" t="s">
        <v>60</v>
      </c>
      <c r="B34" s="247"/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  <c r="V34" s="271"/>
      <c r="W34" s="271"/>
      <c r="X34" s="271"/>
      <c r="Y34" s="271"/>
      <c r="Z34" s="271"/>
      <c r="AA34" s="271"/>
      <c r="AB34" s="271"/>
      <c r="AC34" s="271"/>
      <c r="AD34" s="271"/>
      <c r="AE34" s="271"/>
      <c r="AF34" s="271"/>
      <c r="AG34" s="271"/>
      <c r="AH34" s="272"/>
    </row>
    <row r="35" spans="1:34" ht="17.25" customHeight="1" collapsed="1">
      <c r="A35" s="507" t="s">
        <v>956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53"/>
    </row>
    <row r="36" spans="1:34" ht="17.25" customHeight="1">
      <c r="A36" s="169" t="s">
        <v>298</v>
      </c>
      <c r="B36" s="247"/>
      <c r="C36" s="271">
        <v>50000</v>
      </c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  <c r="R36" s="271"/>
      <c r="S36" s="271"/>
      <c r="T36" s="271"/>
      <c r="U36" s="271"/>
      <c r="V36" s="271"/>
      <c r="W36" s="271"/>
      <c r="X36" s="271"/>
      <c r="Y36" s="271"/>
      <c r="Z36" s="271"/>
      <c r="AA36" s="271"/>
      <c r="AB36" s="271"/>
      <c r="AC36" s="271"/>
      <c r="AD36" s="271"/>
      <c r="AE36" s="271"/>
      <c r="AF36" s="271"/>
      <c r="AG36" s="271"/>
      <c r="AH36" s="272"/>
    </row>
    <row r="37" spans="1:34" ht="17.25" customHeight="1">
      <c r="A37" s="192" t="s">
        <v>957</v>
      </c>
      <c r="B37" s="248"/>
      <c r="C37" s="226">
        <v>40000</v>
      </c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73"/>
    </row>
    <row r="38" spans="1:34" ht="12" customHeight="1">
      <c r="B38" s="246"/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X38" s="245"/>
      <c r="Y38" s="245"/>
      <c r="Z38" s="245"/>
      <c r="AA38" s="245"/>
      <c r="AB38" s="245"/>
      <c r="AC38" s="245"/>
      <c r="AD38" s="245"/>
      <c r="AE38" s="245"/>
      <c r="AF38" s="245"/>
      <c r="AG38" s="245"/>
      <c r="AH38" s="245"/>
    </row>
    <row r="39" spans="1:34" ht="17.25" customHeight="1">
      <c r="A39" s="163" t="s">
        <v>122</v>
      </c>
      <c r="B39" s="216"/>
      <c r="C39" s="249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52"/>
    </row>
    <row r="40" spans="1:34" ht="17.25" hidden="1" customHeight="1" outlineLevel="1">
      <c r="A40" s="507" t="s">
        <v>955</v>
      </c>
      <c r="B40" s="508"/>
      <c r="C40" s="217"/>
      <c r="D40" s="508"/>
      <c r="E40" s="508"/>
      <c r="F40" s="508"/>
      <c r="G40" s="508"/>
      <c r="H40" s="508"/>
      <c r="I40" s="508"/>
      <c r="J40" s="508"/>
      <c r="K40" s="508"/>
      <c r="L40" s="508"/>
      <c r="M40" s="508"/>
      <c r="N40" s="508"/>
      <c r="O40" s="508"/>
      <c r="P40" s="508"/>
      <c r="Q40" s="508"/>
      <c r="R40" s="508"/>
      <c r="S40" s="508"/>
      <c r="T40" s="508"/>
      <c r="U40" s="508"/>
      <c r="V40" s="508"/>
      <c r="W40" s="508"/>
      <c r="X40" s="508"/>
      <c r="Y40" s="508"/>
      <c r="Z40" s="508"/>
      <c r="AA40" s="508"/>
      <c r="AB40" s="508"/>
      <c r="AC40" s="508"/>
      <c r="AD40" s="508"/>
      <c r="AE40" s="508"/>
      <c r="AF40" s="508"/>
      <c r="AG40" s="508"/>
      <c r="AH40" s="510"/>
    </row>
    <row r="41" spans="1:34" ht="17.25" hidden="1" customHeight="1" outlineLevel="1">
      <c r="A41" s="169" t="s">
        <v>1</v>
      </c>
      <c r="B41" s="247"/>
      <c r="C41" s="130"/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53"/>
    </row>
    <row r="42" spans="1:34" ht="17.25" hidden="1" customHeight="1" outlineLevel="1">
      <c r="A42" s="169" t="s">
        <v>0</v>
      </c>
      <c r="B42" s="247"/>
      <c r="C42" s="130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53"/>
    </row>
    <row r="43" spans="1:34" ht="17.25" hidden="1" customHeight="1" outlineLevel="1">
      <c r="A43" s="169" t="s">
        <v>141</v>
      </c>
      <c r="B43" s="247"/>
      <c r="C43" s="130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53"/>
    </row>
    <row r="44" spans="1:34" ht="17.25" hidden="1" customHeight="1" outlineLevel="1">
      <c r="A44" s="169" t="s">
        <v>59</v>
      </c>
      <c r="B44" s="247"/>
      <c r="C44" s="130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53"/>
    </row>
    <row r="45" spans="1:34" ht="17.25" hidden="1" customHeight="1" outlineLevel="1">
      <c r="A45" s="169" t="s">
        <v>60</v>
      </c>
      <c r="B45" s="247"/>
      <c r="C45" s="130"/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53"/>
    </row>
    <row r="46" spans="1:34" ht="17.25" customHeight="1" collapsed="1">
      <c r="A46" s="507" t="s">
        <v>954</v>
      </c>
      <c r="B46" s="247"/>
      <c r="C46" s="247"/>
      <c r="D46" s="247"/>
      <c r="E46" s="247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53"/>
    </row>
    <row r="47" spans="1:34" ht="17.25" customHeight="1">
      <c r="A47" s="169" t="s">
        <v>298</v>
      </c>
      <c r="B47" s="247"/>
      <c r="C47" s="130">
        <v>0.2</v>
      </c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53"/>
    </row>
    <row r="48" spans="1:34" ht="17.25" customHeight="1">
      <c r="A48" s="192" t="s">
        <v>957</v>
      </c>
      <c r="B48" s="248"/>
      <c r="C48" s="203">
        <v>0.2</v>
      </c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8"/>
      <c r="AC48" s="248"/>
      <c r="AD48" s="248"/>
      <c r="AE48" s="248"/>
      <c r="AF48" s="248"/>
      <c r="AG48" s="248"/>
      <c r="AH48" s="254"/>
    </row>
    <row r="49" spans="1:34" ht="12" customHeight="1">
      <c r="B49" s="45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</row>
    <row r="50" spans="1:34" ht="18" customHeight="1">
      <c r="A50" s="163" t="s">
        <v>114</v>
      </c>
      <c r="B50" s="225"/>
      <c r="C50" s="214"/>
      <c r="D50" s="225"/>
      <c r="E50" s="225"/>
      <c r="F50" s="214"/>
      <c r="G50" s="225"/>
      <c r="H50" s="225"/>
      <c r="I50" s="214"/>
      <c r="J50" s="225"/>
      <c r="K50" s="225"/>
      <c r="L50" s="214"/>
      <c r="M50" s="225"/>
      <c r="N50" s="225"/>
      <c r="O50" s="214"/>
      <c r="P50" s="225"/>
      <c r="Q50" s="225"/>
      <c r="R50" s="214"/>
      <c r="S50" s="225"/>
      <c r="T50" s="225"/>
      <c r="U50" s="214"/>
      <c r="V50" s="225"/>
      <c r="W50" s="225"/>
      <c r="X50" s="214"/>
      <c r="Y50" s="225"/>
      <c r="Z50" s="225"/>
      <c r="AA50" s="214"/>
      <c r="AB50" s="225"/>
      <c r="AC50" s="225"/>
      <c r="AD50" s="214"/>
      <c r="AE50" s="225"/>
      <c r="AF50" s="214"/>
      <c r="AG50" s="214"/>
      <c r="AH50" s="215"/>
    </row>
    <row r="51" spans="1:34" ht="18" customHeight="1">
      <c r="A51" s="169" t="s">
        <v>295</v>
      </c>
      <c r="B51" s="223"/>
      <c r="C51" s="237">
        <v>0.04</v>
      </c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1"/>
    </row>
    <row r="52" spans="1:34" ht="18" customHeight="1">
      <c r="A52" s="169" t="s">
        <v>296</v>
      </c>
      <c r="B52" s="223"/>
      <c r="C52" s="237">
        <v>0.1</v>
      </c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1"/>
    </row>
    <row r="53" spans="1:34" ht="18" customHeight="1">
      <c r="A53" s="169" t="s">
        <v>298</v>
      </c>
      <c r="B53" s="223"/>
      <c r="C53" s="237">
        <v>0.1</v>
      </c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  <c r="AH53" s="211"/>
    </row>
    <row r="54" spans="1:34" ht="18" customHeight="1">
      <c r="A54" s="169" t="s">
        <v>297</v>
      </c>
      <c r="B54" s="223"/>
      <c r="C54" s="237">
        <v>0.1</v>
      </c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  <c r="AH54" s="211"/>
    </row>
    <row r="55" spans="1:34" ht="18" customHeight="1">
      <c r="A55" s="169" t="s">
        <v>300</v>
      </c>
      <c r="B55" s="223"/>
      <c r="C55" s="237">
        <v>0.22</v>
      </c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  <c r="AH55" s="211"/>
    </row>
    <row r="56" spans="1:34" ht="18" customHeight="1">
      <c r="A56" s="169" t="s">
        <v>299</v>
      </c>
      <c r="B56" s="223"/>
      <c r="C56" s="237">
        <v>0.22</v>
      </c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1"/>
    </row>
    <row r="57" spans="1:34" ht="6.75" customHeight="1">
      <c r="A57" s="169"/>
      <c r="B57" s="223"/>
      <c r="C57" s="223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  <c r="AH57" s="211"/>
    </row>
    <row r="58" spans="1:34" ht="18" customHeight="1">
      <c r="A58" s="169" t="s">
        <v>46</v>
      </c>
      <c r="B58" s="223"/>
      <c r="C58" s="237">
        <v>0.1</v>
      </c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1"/>
    </row>
    <row r="59" spans="1:34" ht="6.75" customHeight="1">
      <c r="A59" s="169"/>
      <c r="B59" s="223"/>
      <c r="C59" s="223"/>
      <c r="D59" s="223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  <c r="AF59" s="210"/>
      <c r="AG59" s="210"/>
      <c r="AH59" s="211"/>
    </row>
    <row r="60" spans="1:34" ht="18" customHeight="1">
      <c r="A60" s="192" t="s">
        <v>115</v>
      </c>
      <c r="B60" s="224"/>
      <c r="C60" s="474">
        <v>0.04</v>
      </c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212"/>
      <c r="X60" s="212"/>
      <c r="Y60" s="212"/>
      <c r="Z60" s="212"/>
      <c r="AA60" s="212"/>
      <c r="AB60" s="212"/>
      <c r="AC60" s="212"/>
      <c r="AD60" s="212"/>
      <c r="AE60" s="212"/>
      <c r="AF60" s="212"/>
      <c r="AG60" s="212"/>
      <c r="AH60" s="213"/>
    </row>
    <row r="61" spans="1:34" ht="6.75" hidden="1" customHeight="1" outlineLevel="1">
      <c r="A61" s="169"/>
      <c r="B61" s="223"/>
      <c r="C61" s="223"/>
      <c r="D61" s="223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1"/>
    </row>
    <row r="62" spans="1:34" ht="18" hidden="1" customHeight="1" outlineLevel="1">
      <c r="A62" s="192" t="s">
        <v>116</v>
      </c>
      <c r="B62" s="224"/>
      <c r="C62" s="238">
        <v>0</v>
      </c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3"/>
    </row>
    <row r="63" spans="1:34" ht="12" customHeight="1" collapsed="1">
      <c r="B63" s="45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</row>
    <row r="64" spans="1:34" ht="17.25" customHeight="1">
      <c r="A64" s="163" t="s">
        <v>142</v>
      </c>
      <c r="B64" s="227"/>
      <c r="C64" s="228">
        <v>0.24</v>
      </c>
      <c r="D64" s="229">
        <f t="shared" ref="D64:AH64" si="10">C64</f>
        <v>0.24</v>
      </c>
      <c r="E64" s="229">
        <f t="shared" si="10"/>
        <v>0.24</v>
      </c>
      <c r="F64" s="229">
        <f t="shared" si="10"/>
        <v>0.24</v>
      </c>
      <c r="G64" s="229">
        <f t="shared" si="10"/>
        <v>0.24</v>
      </c>
      <c r="H64" s="229">
        <f t="shared" si="10"/>
        <v>0.24</v>
      </c>
      <c r="I64" s="229">
        <f t="shared" si="10"/>
        <v>0.24</v>
      </c>
      <c r="J64" s="229">
        <f t="shared" si="10"/>
        <v>0.24</v>
      </c>
      <c r="K64" s="229">
        <f t="shared" si="10"/>
        <v>0.24</v>
      </c>
      <c r="L64" s="229">
        <f t="shared" si="10"/>
        <v>0.24</v>
      </c>
      <c r="M64" s="229">
        <f t="shared" si="10"/>
        <v>0.24</v>
      </c>
      <c r="N64" s="229">
        <f t="shared" si="10"/>
        <v>0.24</v>
      </c>
      <c r="O64" s="229">
        <f t="shared" si="10"/>
        <v>0.24</v>
      </c>
      <c r="P64" s="229">
        <f t="shared" si="10"/>
        <v>0.24</v>
      </c>
      <c r="Q64" s="229">
        <f t="shared" si="10"/>
        <v>0.24</v>
      </c>
      <c r="R64" s="229">
        <f t="shared" si="10"/>
        <v>0.24</v>
      </c>
      <c r="S64" s="229">
        <f t="shared" si="10"/>
        <v>0.24</v>
      </c>
      <c r="T64" s="229">
        <f t="shared" si="10"/>
        <v>0.24</v>
      </c>
      <c r="U64" s="229">
        <f t="shared" si="10"/>
        <v>0.24</v>
      </c>
      <c r="V64" s="229">
        <f t="shared" si="10"/>
        <v>0.24</v>
      </c>
      <c r="W64" s="229">
        <f t="shared" si="10"/>
        <v>0.24</v>
      </c>
      <c r="X64" s="229">
        <f t="shared" si="10"/>
        <v>0.24</v>
      </c>
      <c r="Y64" s="229">
        <f t="shared" si="10"/>
        <v>0.24</v>
      </c>
      <c r="Z64" s="229">
        <f t="shared" si="10"/>
        <v>0.24</v>
      </c>
      <c r="AA64" s="229">
        <f t="shared" si="10"/>
        <v>0.24</v>
      </c>
      <c r="AB64" s="229">
        <f t="shared" si="10"/>
        <v>0.24</v>
      </c>
      <c r="AC64" s="229">
        <f t="shared" si="10"/>
        <v>0.24</v>
      </c>
      <c r="AD64" s="229">
        <f t="shared" si="10"/>
        <v>0.24</v>
      </c>
      <c r="AE64" s="229">
        <f t="shared" si="10"/>
        <v>0.24</v>
      </c>
      <c r="AF64" s="229">
        <f t="shared" si="10"/>
        <v>0.24</v>
      </c>
      <c r="AG64" s="229">
        <f t="shared" si="10"/>
        <v>0.24</v>
      </c>
      <c r="AH64" s="230">
        <f t="shared" si="10"/>
        <v>0.24</v>
      </c>
    </row>
    <row r="65" spans="1:34" ht="17.25" customHeight="1">
      <c r="A65" s="414" t="s">
        <v>914</v>
      </c>
      <c r="B65" s="410"/>
      <c r="C65" s="411">
        <f>+C64*5%</f>
        <v>1.2E-2</v>
      </c>
      <c r="D65" s="412">
        <f t="shared" ref="D65:AH65" si="11">C65</f>
        <v>1.2E-2</v>
      </c>
      <c r="E65" s="412">
        <f t="shared" si="11"/>
        <v>1.2E-2</v>
      </c>
      <c r="F65" s="412">
        <f t="shared" si="11"/>
        <v>1.2E-2</v>
      </c>
      <c r="G65" s="412">
        <f t="shared" si="11"/>
        <v>1.2E-2</v>
      </c>
      <c r="H65" s="412">
        <f t="shared" si="11"/>
        <v>1.2E-2</v>
      </c>
      <c r="I65" s="412">
        <f t="shared" si="11"/>
        <v>1.2E-2</v>
      </c>
      <c r="J65" s="412">
        <f t="shared" si="11"/>
        <v>1.2E-2</v>
      </c>
      <c r="K65" s="412">
        <f t="shared" si="11"/>
        <v>1.2E-2</v>
      </c>
      <c r="L65" s="412">
        <f t="shared" si="11"/>
        <v>1.2E-2</v>
      </c>
      <c r="M65" s="412">
        <f t="shared" si="11"/>
        <v>1.2E-2</v>
      </c>
      <c r="N65" s="412">
        <f t="shared" si="11"/>
        <v>1.2E-2</v>
      </c>
      <c r="O65" s="412">
        <f t="shared" si="11"/>
        <v>1.2E-2</v>
      </c>
      <c r="P65" s="412">
        <f t="shared" si="11"/>
        <v>1.2E-2</v>
      </c>
      <c r="Q65" s="412">
        <f t="shared" si="11"/>
        <v>1.2E-2</v>
      </c>
      <c r="R65" s="412">
        <f t="shared" si="11"/>
        <v>1.2E-2</v>
      </c>
      <c r="S65" s="412">
        <f t="shared" si="11"/>
        <v>1.2E-2</v>
      </c>
      <c r="T65" s="412">
        <f t="shared" si="11"/>
        <v>1.2E-2</v>
      </c>
      <c r="U65" s="412">
        <f t="shared" si="11"/>
        <v>1.2E-2</v>
      </c>
      <c r="V65" s="412">
        <f t="shared" si="11"/>
        <v>1.2E-2</v>
      </c>
      <c r="W65" s="412">
        <f t="shared" si="11"/>
        <v>1.2E-2</v>
      </c>
      <c r="X65" s="412">
        <f t="shared" si="11"/>
        <v>1.2E-2</v>
      </c>
      <c r="Y65" s="412">
        <f t="shared" si="11"/>
        <v>1.2E-2</v>
      </c>
      <c r="Z65" s="412">
        <f t="shared" si="11"/>
        <v>1.2E-2</v>
      </c>
      <c r="AA65" s="412">
        <f t="shared" si="11"/>
        <v>1.2E-2</v>
      </c>
      <c r="AB65" s="412">
        <f t="shared" si="11"/>
        <v>1.2E-2</v>
      </c>
      <c r="AC65" s="412">
        <f t="shared" si="11"/>
        <v>1.2E-2</v>
      </c>
      <c r="AD65" s="412">
        <f t="shared" si="11"/>
        <v>1.2E-2</v>
      </c>
      <c r="AE65" s="412">
        <f t="shared" si="11"/>
        <v>1.2E-2</v>
      </c>
      <c r="AF65" s="412">
        <f t="shared" si="11"/>
        <v>1.2E-2</v>
      </c>
      <c r="AG65" s="412">
        <f t="shared" si="11"/>
        <v>1.2E-2</v>
      </c>
      <c r="AH65" s="413">
        <f t="shared" si="11"/>
        <v>1.2E-2</v>
      </c>
    </row>
    <row r="66" spans="1:34" ht="17.25" customHeight="1">
      <c r="A66" s="414" t="s">
        <v>915</v>
      </c>
      <c r="B66" s="410"/>
      <c r="C66" s="411">
        <v>0.26</v>
      </c>
      <c r="D66" s="412">
        <f t="shared" ref="D66:AH66" si="12">C66</f>
        <v>0.26</v>
      </c>
      <c r="E66" s="412">
        <f t="shared" si="12"/>
        <v>0.26</v>
      </c>
      <c r="F66" s="412">
        <f t="shared" si="12"/>
        <v>0.26</v>
      </c>
      <c r="G66" s="412">
        <f t="shared" si="12"/>
        <v>0.26</v>
      </c>
      <c r="H66" s="412">
        <f t="shared" si="12"/>
        <v>0.26</v>
      </c>
      <c r="I66" s="412">
        <f t="shared" si="12"/>
        <v>0.26</v>
      </c>
      <c r="J66" s="412">
        <f t="shared" si="12"/>
        <v>0.26</v>
      </c>
      <c r="K66" s="412">
        <f t="shared" si="12"/>
        <v>0.26</v>
      </c>
      <c r="L66" s="412">
        <f t="shared" si="12"/>
        <v>0.26</v>
      </c>
      <c r="M66" s="412">
        <f t="shared" si="12"/>
        <v>0.26</v>
      </c>
      <c r="N66" s="412">
        <f t="shared" si="12"/>
        <v>0.26</v>
      </c>
      <c r="O66" s="412">
        <f t="shared" si="12"/>
        <v>0.26</v>
      </c>
      <c r="P66" s="412">
        <f t="shared" si="12"/>
        <v>0.26</v>
      </c>
      <c r="Q66" s="412">
        <f t="shared" si="12"/>
        <v>0.26</v>
      </c>
      <c r="R66" s="412">
        <f t="shared" si="12"/>
        <v>0.26</v>
      </c>
      <c r="S66" s="412">
        <f t="shared" si="12"/>
        <v>0.26</v>
      </c>
      <c r="T66" s="412">
        <f t="shared" si="12"/>
        <v>0.26</v>
      </c>
      <c r="U66" s="412">
        <f t="shared" si="12"/>
        <v>0.26</v>
      </c>
      <c r="V66" s="412">
        <f t="shared" si="12"/>
        <v>0.26</v>
      </c>
      <c r="W66" s="412">
        <f t="shared" si="12"/>
        <v>0.26</v>
      </c>
      <c r="X66" s="412">
        <f t="shared" si="12"/>
        <v>0.26</v>
      </c>
      <c r="Y66" s="412">
        <f t="shared" si="12"/>
        <v>0.26</v>
      </c>
      <c r="Z66" s="412">
        <f t="shared" si="12"/>
        <v>0.26</v>
      </c>
      <c r="AA66" s="412">
        <f t="shared" si="12"/>
        <v>0.26</v>
      </c>
      <c r="AB66" s="412">
        <f t="shared" si="12"/>
        <v>0.26</v>
      </c>
      <c r="AC66" s="412">
        <f t="shared" si="12"/>
        <v>0.26</v>
      </c>
      <c r="AD66" s="412">
        <f t="shared" si="12"/>
        <v>0.26</v>
      </c>
      <c r="AE66" s="412">
        <f t="shared" si="12"/>
        <v>0.26</v>
      </c>
      <c r="AF66" s="412">
        <f t="shared" si="12"/>
        <v>0.26</v>
      </c>
      <c r="AG66" s="412">
        <f t="shared" si="12"/>
        <v>0.26</v>
      </c>
      <c r="AH66" s="413">
        <f t="shared" si="12"/>
        <v>0.26</v>
      </c>
    </row>
    <row r="67" spans="1:34" ht="17.25" customHeight="1">
      <c r="A67" s="198" t="s">
        <v>111</v>
      </c>
      <c r="B67" s="231"/>
      <c r="C67" s="232">
        <v>3.3000000000000002E-2</v>
      </c>
      <c r="D67" s="233">
        <f>C67</f>
        <v>3.3000000000000002E-2</v>
      </c>
      <c r="E67" s="233">
        <f t="shared" ref="E67:AF67" si="13">D67</f>
        <v>3.3000000000000002E-2</v>
      </c>
      <c r="F67" s="233">
        <f t="shared" si="13"/>
        <v>3.3000000000000002E-2</v>
      </c>
      <c r="G67" s="233">
        <f t="shared" si="13"/>
        <v>3.3000000000000002E-2</v>
      </c>
      <c r="H67" s="233">
        <f t="shared" si="13"/>
        <v>3.3000000000000002E-2</v>
      </c>
      <c r="I67" s="233">
        <f t="shared" si="13"/>
        <v>3.3000000000000002E-2</v>
      </c>
      <c r="J67" s="233">
        <f t="shared" si="13"/>
        <v>3.3000000000000002E-2</v>
      </c>
      <c r="K67" s="233">
        <f t="shared" si="13"/>
        <v>3.3000000000000002E-2</v>
      </c>
      <c r="L67" s="233">
        <f t="shared" si="13"/>
        <v>3.3000000000000002E-2</v>
      </c>
      <c r="M67" s="233">
        <f t="shared" si="13"/>
        <v>3.3000000000000002E-2</v>
      </c>
      <c r="N67" s="233">
        <f t="shared" si="13"/>
        <v>3.3000000000000002E-2</v>
      </c>
      <c r="O67" s="233">
        <f t="shared" si="13"/>
        <v>3.3000000000000002E-2</v>
      </c>
      <c r="P67" s="233">
        <f t="shared" si="13"/>
        <v>3.3000000000000002E-2</v>
      </c>
      <c r="Q67" s="233">
        <f t="shared" si="13"/>
        <v>3.3000000000000002E-2</v>
      </c>
      <c r="R67" s="233">
        <f t="shared" si="13"/>
        <v>3.3000000000000002E-2</v>
      </c>
      <c r="S67" s="233">
        <f t="shared" si="13"/>
        <v>3.3000000000000002E-2</v>
      </c>
      <c r="T67" s="233">
        <f t="shared" si="13"/>
        <v>3.3000000000000002E-2</v>
      </c>
      <c r="U67" s="233">
        <f t="shared" si="13"/>
        <v>3.3000000000000002E-2</v>
      </c>
      <c r="V67" s="233">
        <f t="shared" si="13"/>
        <v>3.3000000000000002E-2</v>
      </c>
      <c r="W67" s="233">
        <f t="shared" si="13"/>
        <v>3.3000000000000002E-2</v>
      </c>
      <c r="X67" s="233">
        <f t="shared" si="13"/>
        <v>3.3000000000000002E-2</v>
      </c>
      <c r="Y67" s="233">
        <f t="shared" si="13"/>
        <v>3.3000000000000002E-2</v>
      </c>
      <c r="Z67" s="233">
        <f t="shared" si="13"/>
        <v>3.3000000000000002E-2</v>
      </c>
      <c r="AA67" s="233">
        <f t="shared" si="13"/>
        <v>3.3000000000000002E-2</v>
      </c>
      <c r="AB67" s="233">
        <f t="shared" si="13"/>
        <v>3.3000000000000002E-2</v>
      </c>
      <c r="AC67" s="233">
        <f t="shared" si="13"/>
        <v>3.3000000000000002E-2</v>
      </c>
      <c r="AD67" s="233">
        <f t="shared" si="13"/>
        <v>3.3000000000000002E-2</v>
      </c>
      <c r="AE67" s="233">
        <f t="shared" si="13"/>
        <v>3.3000000000000002E-2</v>
      </c>
      <c r="AF67" s="233">
        <f t="shared" si="13"/>
        <v>3.3000000000000002E-2</v>
      </c>
      <c r="AG67" s="233">
        <f>AF67</f>
        <v>3.3000000000000002E-2</v>
      </c>
      <c r="AH67" s="234">
        <f>AG67</f>
        <v>3.3000000000000002E-2</v>
      </c>
    </row>
    <row r="68" spans="1:34" ht="12.75" customHeight="1">
      <c r="A68" s="2"/>
      <c r="B68" s="159"/>
      <c r="C68" s="159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</row>
    <row r="76" spans="1:34" ht="17.25" customHeight="1">
      <c r="I76" s="10">
        <f>20/6</f>
        <v>3.3333333333333335</v>
      </c>
    </row>
  </sheetData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54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F33D7-8CD8-E942-BC5B-3E5C7C32756D}">
  <sheetPr codeName="Foglio2">
    <pageSetUpPr fitToPage="1"/>
  </sheetPr>
  <dimension ref="A1:AM41"/>
  <sheetViews>
    <sheetView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38" sqref="F38"/>
    </sheetView>
  </sheetViews>
  <sheetFormatPr defaultColWidth="9.140625" defaultRowHeight="18" customHeight="1" outlineLevelRow="1" outlineLevelCol="1"/>
  <cols>
    <col min="1" max="1" width="50.42578125" style="10" bestFit="1" customWidth="1"/>
    <col min="2" max="21" width="8.7109375" style="32" customWidth="1"/>
    <col min="22" max="34" width="8.7109375" style="32" customWidth="1" outlineLevel="1"/>
    <col min="35" max="16384" width="9.140625" style="10"/>
  </cols>
  <sheetData>
    <row r="1" spans="1:39" s="2" customFormat="1" ht="18" customHeight="1">
      <c r="A1" s="11" t="s">
        <v>934</v>
      </c>
      <c r="B1" s="274" t="s">
        <v>144</v>
      </c>
      <c r="C1" s="274" t="s">
        <v>145</v>
      </c>
      <c r="D1" s="274" t="s">
        <v>146</v>
      </c>
      <c r="E1" s="274" t="s">
        <v>147</v>
      </c>
      <c r="F1" s="274" t="s">
        <v>148</v>
      </c>
      <c r="G1" s="274" t="s">
        <v>149</v>
      </c>
      <c r="H1" s="274" t="s">
        <v>150</v>
      </c>
      <c r="I1" s="274" t="s">
        <v>151</v>
      </c>
      <c r="J1" s="274" t="s">
        <v>152</v>
      </c>
      <c r="K1" s="274" t="s">
        <v>153</v>
      </c>
      <c r="L1" s="274" t="s">
        <v>154</v>
      </c>
      <c r="M1" s="274" t="s">
        <v>155</v>
      </c>
      <c r="N1" s="274" t="s">
        <v>156</v>
      </c>
      <c r="O1" s="274" t="s">
        <v>157</v>
      </c>
      <c r="P1" s="274" t="s">
        <v>158</v>
      </c>
      <c r="Q1" s="274" t="s">
        <v>159</v>
      </c>
      <c r="R1" s="274" t="s">
        <v>160</v>
      </c>
      <c r="S1" s="274" t="s">
        <v>161</v>
      </c>
      <c r="T1" s="274" t="s">
        <v>162</v>
      </c>
      <c r="U1" s="274" t="s">
        <v>163</v>
      </c>
      <c r="V1" s="274" t="s">
        <v>164</v>
      </c>
      <c r="W1" s="274" t="s">
        <v>165</v>
      </c>
      <c r="X1" s="274" t="s">
        <v>166</v>
      </c>
      <c r="Y1" s="274" t="s">
        <v>167</v>
      </c>
      <c r="Z1" s="274" t="s">
        <v>168</v>
      </c>
      <c r="AA1" s="274" t="s">
        <v>169</v>
      </c>
      <c r="AB1" s="274" t="s">
        <v>170</v>
      </c>
      <c r="AC1" s="274" t="s">
        <v>171</v>
      </c>
      <c r="AD1" s="274" t="s">
        <v>172</v>
      </c>
      <c r="AE1" s="274" t="s">
        <v>173</v>
      </c>
      <c r="AF1" s="274" t="s">
        <v>174</v>
      </c>
      <c r="AG1" s="274" t="s">
        <v>175</v>
      </c>
      <c r="AH1" s="274" t="s">
        <v>176</v>
      </c>
    </row>
    <row r="2" spans="1:39" ht="6.75" customHeight="1">
      <c r="A2" s="8"/>
      <c r="B2" s="40"/>
      <c r="C2" s="40"/>
      <c r="D2" s="40"/>
      <c r="E2" s="40"/>
      <c r="F2" s="40"/>
      <c r="G2" s="40"/>
      <c r="H2" s="40"/>
    </row>
    <row r="3" spans="1:39" s="2" customFormat="1" ht="18" customHeight="1">
      <c r="A3" s="30" t="s">
        <v>586</v>
      </c>
      <c r="B3" s="47">
        <f t="shared" ref="B3:U3" si="0">SUM(B4:B9)</f>
        <v>3926</v>
      </c>
      <c r="C3" s="47">
        <f t="shared" si="0"/>
        <v>7852</v>
      </c>
      <c r="D3" s="47">
        <f t="shared" si="0"/>
        <v>7852</v>
      </c>
      <c r="E3" s="47">
        <f t="shared" si="0"/>
        <v>7852</v>
      </c>
      <c r="F3" s="47">
        <f t="shared" si="0"/>
        <v>7852</v>
      </c>
      <c r="G3" s="47">
        <f t="shared" si="0"/>
        <v>7852</v>
      </c>
      <c r="H3" s="47">
        <f t="shared" si="0"/>
        <v>7852</v>
      </c>
      <c r="I3" s="47">
        <f t="shared" si="0"/>
        <v>7852</v>
      </c>
      <c r="J3" s="47">
        <f t="shared" si="0"/>
        <v>7852</v>
      </c>
      <c r="K3" s="47">
        <f t="shared" si="0"/>
        <v>7852</v>
      </c>
      <c r="L3" s="47">
        <f t="shared" si="0"/>
        <v>7852</v>
      </c>
      <c r="M3" s="47">
        <f t="shared" si="0"/>
        <v>7852</v>
      </c>
      <c r="N3" s="47">
        <f t="shared" si="0"/>
        <v>7852</v>
      </c>
      <c r="O3" s="47">
        <f t="shared" si="0"/>
        <v>7852</v>
      </c>
      <c r="P3" s="47">
        <f t="shared" si="0"/>
        <v>7852</v>
      </c>
      <c r="Q3" s="47">
        <f t="shared" si="0"/>
        <v>7852</v>
      </c>
      <c r="R3" s="47">
        <f t="shared" si="0"/>
        <v>7852</v>
      </c>
      <c r="S3" s="47">
        <f t="shared" si="0"/>
        <v>7852</v>
      </c>
      <c r="T3" s="47">
        <f t="shared" si="0"/>
        <v>7852</v>
      </c>
      <c r="U3" s="47">
        <f t="shared" si="0"/>
        <v>7852</v>
      </c>
      <c r="V3" s="47">
        <f t="shared" ref="V3:AH3" si="1">SUM(V4:V9)</f>
        <v>7852</v>
      </c>
      <c r="W3" s="47">
        <f t="shared" si="1"/>
        <v>7852</v>
      </c>
      <c r="X3" s="47">
        <f t="shared" si="1"/>
        <v>7852</v>
      </c>
      <c r="Y3" s="47">
        <f t="shared" si="1"/>
        <v>7852</v>
      </c>
      <c r="Z3" s="47">
        <f t="shared" si="1"/>
        <v>7852</v>
      </c>
      <c r="AA3" s="47">
        <f t="shared" si="1"/>
        <v>7852</v>
      </c>
      <c r="AB3" s="47">
        <f t="shared" si="1"/>
        <v>7852</v>
      </c>
      <c r="AC3" s="47">
        <f t="shared" si="1"/>
        <v>7852</v>
      </c>
      <c r="AD3" s="47">
        <f t="shared" si="1"/>
        <v>7852</v>
      </c>
      <c r="AE3" s="47">
        <f t="shared" si="1"/>
        <v>7852</v>
      </c>
      <c r="AF3" s="47">
        <f t="shared" si="1"/>
        <v>7852</v>
      </c>
      <c r="AG3" s="47">
        <f t="shared" si="1"/>
        <v>7852</v>
      </c>
      <c r="AH3" s="47">
        <f t="shared" si="1"/>
        <v>7852</v>
      </c>
      <c r="AI3" s="31"/>
      <c r="AJ3" s="31"/>
      <c r="AK3" s="31"/>
      <c r="AL3" s="31"/>
      <c r="AM3" s="31"/>
    </row>
    <row r="4" spans="1:39" ht="18" customHeight="1">
      <c r="A4" s="475" t="s">
        <v>295</v>
      </c>
      <c r="B4" s="48">
        <v>0</v>
      </c>
      <c r="C4" s="48">
        <v>0</v>
      </c>
      <c r="D4" s="48">
        <v>0</v>
      </c>
      <c r="E4" s="48">
        <v>0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8">
        <v>0</v>
      </c>
      <c r="L4" s="48">
        <v>0</v>
      </c>
      <c r="M4" s="48">
        <v>0</v>
      </c>
      <c r="N4" s="48">
        <v>0</v>
      </c>
      <c r="O4" s="48">
        <v>0</v>
      </c>
      <c r="P4" s="48">
        <v>0</v>
      </c>
      <c r="Q4" s="48">
        <v>0</v>
      </c>
      <c r="R4" s="48">
        <v>0</v>
      </c>
      <c r="S4" s="48">
        <v>0</v>
      </c>
      <c r="T4" s="48">
        <v>0</v>
      </c>
      <c r="U4" s="48">
        <v>0</v>
      </c>
      <c r="V4" s="371">
        <v>0</v>
      </c>
      <c r="W4" s="371">
        <v>0</v>
      </c>
      <c r="X4" s="371">
        <v>0</v>
      </c>
      <c r="Y4" s="371">
        <v>0</v>
      </c>
      <c r="Z4" s="371">
        <v>0</v>
      </c>
      <c r="AA4" s="371">
        <v>0</v>
      </c>
      <c r="AB4" s="371">
        <v>0</v>
      </c>
      <c r="AC4" s="371">
        <v>0</v>
      </c>
      <c r="AD4" s="371">
        <v>0</v>
      </c>
      <c r="AE4" s="371">
        <v>0</v>
      </c>
      <c r="AF4" s="371">
        <v>0</v>
      </c>
      <c r="AG4" s="371">
        <v>0</v>
      </c>
      <c r="AH4" s="371">
        <v>0</v>
      </c>
      <c r="AI4" s="15"/>
      <c r="AJ4" s="15"/>
      <c r="AK4" s="15"/>
      <c r="AL4" s="15"/>
      <c r="AM4" s="15"/>
    </row>
    <row r="5" spans="1:39" ht="18" customHeight="1">
      <c r="A5" s="475" t="s">
        <v>296</v>
      </c>
      <c r="B5" s="48">
        <v>3011</v>
      </c>
      <c r="C5" s="48">
        <v>6022</v>
      </c>
      <c r="D5" s="48">
        <v>6022</v>
      </c>
      <c r="E5" s="48">
        <v>6022</v>
      </c>
      <c r="F5" s="48">
        <v>6022</v>
      </c>
      <c r="G5" s="48">
        <v>6022</v>
      </c>
      <c r="H5" s="48">
        <v>6022</v>
      </c>
      <c r="I5" s="48">
        <v>6022</v>
      </c>
      <c r="J5" s="48">
        <v>6022</v>
      </c>
      <c r="K5" s="48">
        <v>6022</v>
      </c>
      <c r="L5" s="48">
        <v>6022</v>
      </c>
      <c r="M5" s="48">
        <v>6022</v>
      </c>
      <c r="N5" s="48">
        <v>6022</v>
      </c>
      <c r="O5" s="48">
        <v>6022</v>
      </c>
      <c r="P5" s="48">
        <v>6022</v>
      </c>
      <c r="Q5" s="48">
        <v>6022</v>
      </c>
      <c r="R5" s="48">
        <v>6022</v>
      </c>
      <c r="S5" s="48">
        <v>6022</v>
      </c>
      <c r="T5" s="48">
        <v>6022</v>
      </c>
      <c r="U5" s="48">
        <v>6022</v>
      </c>
      <c r="V5" s="48">
        <v>6022</v>
      </c>
      <c r="W5" s="48">
        <v>6022</v>
      </c>
      <c r="X5" s="48">
        <v>6022</v>
      </c>
      <c r="Y5" s="48">
        <v>6022</v>
      </c>
      <c r="Z5" s="48">
        <v>6022</v>
      </c>
      <c r="AA5" s="48">
        <v>6022</v>
      </c>
      <c r="AB5" s="48">
        <v>6022</v>
      </c>
      <c r="AC5" s="48">
        <v>6022</v>
      </c>
      <c r="AD5" s="48">
        <v>6022</v>
      </c>
      <c r="AE5" s="48">
        <v>6022</v>
      </c>
      <c r="AF5" s="48">
        <v>6022</v>
      </c>
      <c r="AG5" s="48">
        <v>6022</v>
      </c>
      <c r="AH5" s="48">
        <v>6022</v>
      </c>
      <c r="AI5" s="15"/>
      <c r="AJ5" s="15"/>
      <c r="AK5" s="15"/>
      <c r="AL5" s="15"/>
      <c r="AM5" s="15"/>
    </row>
    <row r="6" spans="1:39" ht="18" customHeight="1" outlineLevel="1">
      <c r="A6" s="475" t="s">
        <v>298</v>
      </c>
      <c r="B6" s="48">
        <v>0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  <c r="AG6" s="48">
        <v>0</v>
      </c>
      <c r="AH6" s="48">
        <v>0</v>
      </c>
      <c r="AI6" s="15"/>
      <c r="AJ6" s="15"/>
      <c r="AK6" s="15"/>
      <c r="AL6" s="15"/>
      <c r="AM6" s="15"/>
    </row>
    <row r="7" spans="1:39" ht="18" customHeight="1">
      <c r="A7" s="475" t="s">
        <v>297</v>
      </c>
      <c r="B7" s="48">
        <v>915</v>
      </c>
      <c r="C7" s="48">
        <v>1830</v>
      </c>
      <c r="D7" s="48">
        <v>1830</v>
      </c>
      <c r="E7" s="48">
        <v>1830</v>
      </c>
      <c r="F7" s="48">
        <v>1830</v>
      </c>
      <c r="G7" s="48">
        <v>1830</v>
      </c>
      <c r="H7" s="48">
        <v>1830</v>
      </c>
      <c r="I7" s="48">
        <v>1830</v>
      </c>
      <c r="J7" s="48">
        <v>1830</v>
      </c>
      <c r="K7" s="48">
        <v>1830</v>
      </c>
      <c r="L7" s="48">
        <v>1830</v>
      </c>
      <c r="M7" s="48">
        <v>1830</v>
      </c>
      <c r="N7" s="48">
        <v>1830</v>
      </c>
      <c r="O7" s="48">
        <v>1830</v>
      </c>
      <c r="P7" s="48">
        <v>1830</v>
      </c>
      <c r="Q7" s="48">
        <v>1830</v>
      </c>
      <c r="R7" s="48">
        <v>1830</v>
      </c>
      <c r="S7" s="48">
        <v>1830</v>
      </c>
      <c r="T7" s="48">
        <v>1830</v>
      </c>
      <c r="U7" s="48">
        <v>1830</v>
      </c>
      <c r="V7" s="48">
        <v>1830</v>
      </c>
      <c r="W7" s="48">
        <v>1830</v>
      </c>
      <c r="X7" s="48">
        <v>1830</v>
      </c>
      <c r="Y7" s="48">
        <v>1830</v>
      </c>
      <c r="Z7" s="48">
        <v>1830</v>
      </c>
      <c r="AA7" s="48">
        <v>1830</v>
      </c>
      <c r="AB7" s="48">
        <v>1830</v>
      </c>
      <c r="AC7" s="48">
        <v>1830</v>
      </c>
      <c r="AD7" s="48">
        <v>1830</v>
      </c>
      <c r="AE7" s="48">
        <v>1830</v>
      </c>
      <c r="AF7" s="48">
        <v>1830</v>
      </c>
      <c r="AG7" s="48">
        <v>1830</v>
      </c>
      <c r="AH7" s="48">
        <v>1830</v>
      </c>
      <c r="AI7" s="15"/>
      <c r="AJ7" s="15"/>
      <c r="AK7" s="15"/>
      <c r="AL7" s="15"/>
      <c r="AM7" s="15"/>
    </row>
    <row r="8" spans="1:39" ht="18" customHeight="1" outlineLevel="1">
      <c r="A8" s="475" t="s">
        <v>300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  <c r="AG8" s="48">
        <v>0</v>
      </c>
      <c r="AH8" s="48">
        <v>0</v>
      </c>
      <c r="AI8" s="15"/>
      <c r="AJ8" s="15"/>
      <c r="AK8" s="15"/>
      <c r="AL8" s="15"/>
      <c r="AM8" s="15"/>
    </row>
    <row r="9" spans="1:39" ht="18" customHeight="1" outlineLevel="1">
      <c r="A9" s="475" t="s">
        <v>299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  <c r="AG9" s="48">
        <v>0</v>
      </c>
      <c r="AH9" s="48">
        <v>0</v>
      </c>
      <c r="AI9" s="15"/>
      <c r="AJ9" s="15"/>
      <c r="AK9" s="15"/>
      <c r="AL9" s="15"/>
      <c r="AM9" s="15"/>
    </row>
    <row r="10" spans="1:39" s="2" customFormat="1" ht="18" customHeight="1">
      <c r="A10" s="2" t="s">
        <v>960</v>
      </c>
      <c r="B10" s="47">
        <v>7320</v>
      </c>
      <c r="C10" s="47">
        <v>14640</v>
      </c>
      <c r="D10" s="47">
        <v>14640</v>
      </c>
      <c r="E10" s="47">
        <v>14640</v>
      </c>
      <c r="F10" s="47">
        <v>14640</v>
      </c>
      <c r="G10" s="47">
        <v>14640</v>
      </c>
      <c r="H10" s="47">
        <v>14640</v>
      </c>
      <c r="I10" s="47">
        <v>14640</v>
      </c>
      <c r="J10" s="47">
        <v>14640</v>
      </c>
      <c r="K10" s="47">
        <v>14640</v>
      </c>
      <c r="L10" s="47">
        <v>14640</v>
      </c>
      <c r="M10" s="47">
        <v>14640</v>
      </c>
      <c r="N10" s="47">
        <v>14640</v>
      </c>
      <c r="O10" s="47">
        <v>14640</v>
      </c>
      <c r="P10" s="47">
        <v>14640</v>
      </c>
      <c r="Q10" s="47">
        <v>14640</v>
      </c>
      <c r="R10" s="47">
        <v>14640</v>
      </c>
      <c r="S10" s="47">
        <v>14640</v>
      </c>
      <c r="T10" s="47">
        <v>14640</v>
      </c>
      <c r="U10" s="47">
        <v>14640</v>
      </c>
      <c r="V10" s="47">
        <v>14640</v>
      </c>
      <c r="W10" s="47">
        <v>14640</v>
      </c>
      <c r="X10" s="47">
        <v>14640</v>
      </c>
      <c r="Y10" s="47">
        <v>14640</v>
      </c>
      <c r="Z10" s="47">
        <v>14640</v>
      </c>
      <c r="AA10" s="47">
        <v>14640</v>
      </c>
      <c r="AB10" s="47">
        <v>14640</v>
      </c>
      <c r="AC10" s="47">
        <v>14640</v>
      </c>
      <c r="AD10" s="47">
        <v>14640</v>
      </c>
      <c r="AE10" s="47">
        <v>14640</v>
      </c>
      <c r="AF10" s="47">
        <v>14640</v>
      </c>
      <c r="AG10" s="47">
        <v>14640</v>
      </c>
      <c r="AH10" s="47">
        <v>14640</v>
      </c>
    </row>
    <row r="11" spans="1:39" s="2" customFormat="1" ht="18" customHeight="1">
      <c r="A11" s="2" t="s">
        <v>273</v>
      </c>
      <c r="B11" s="47">
        <f t="shared" ref="B11:U11" si="2">SUM(B12:B13)</f>
        <v>128272.71450000003</v>
      </c>
      <c r="C11" s="47">
        <f t="shared" si="2"/>
        <v>256545.42900000006</v>
      </c>
      <c r="D11" s="47">
        <f t="shared" si="2"/>
        <v>256545.42900000006</v>
      </c>
      <c r="E11" s="47">
        <f t="shared" si="2"/>
        <v>256545.42900000006</v>
      </c>
      <c r="F11" s="47">
        <f t="shared" si="2"/>
        <v>256545.42900000006</v>
      </c>
      <c r="G11" s="47">
        <f t="shared" si="2"/>
        <v>256545.42900000006</v>
      </c>
      <c r="H11" s="47">
        <f t="shared" si="2"/>
        <v>256545.42900000006</v>
      </c>
      <c r="I11" s="47">
        <f t="shared" si="2"/>
        <v>256545.42900000006</v>
      </c>
      <c r="J11" s="47">
        <f t="shared" si="2"/>
        <v>256545.42900000006</v>
      </c>
      <c r="K11" s="47">
        <f t="shared" si="2"/>
        <v>256545.42900000006</v>
      </c>
      <c r="L11" s="47">
        <f t="shared" si="2"/>
        <v>256545.42900000006</v>
      </c>
      <c r="M11" s="47">
        <f t="shared" si="2"/>
        <v>256545.42900000006</v>
      </c>
      <c r="N11" s="47">
        <f t="shared" si="2"/>
        <v>256545.42900000006</v>
      </c>
      <c r="O11" s="47">
        <f t="shared" si="2"/>
        <v>256545.42900000006</v>
      </c>
      <c r="P11" s="47">
        <f t="shared" si="2"/>
        <v>256545.42900000006</v>
      </c>
      <c r="Q11" s="47">
        <f t="shared" si="2"/>
        <v>256545.42900000006</v>
      </c>
      <c r="R11" s="47">
        <f t="shared" si="2"/>
        <v>256545.42900000006</v>
      </c>
      <c r="S11" s="47">
        <f t="shared" si="2"/>
        <v>256545.42900000006</v>
      </c>
      <c r="T11" s="47">
        <f t="shared" si="2"/>
        <v>256545.42900000006</v>
      </c>
      <c r="U11" s="47">
        <f t="shared" si="2"/>
        <v>256545.42900000006</v>
      </c>
      <c r="V11" s="47">
        <f t="shared" ref="V11:AH11" si="3">SUM(V12:V13)</f>
        <v>256545.42900000006</v>
      </c>
      <c r="W11" s="47">
        <f t="shared" si="3"/>
        <v>256545.42900000006</v>
      </c>
      <c r="X11" s="47">
        <f t="shared" si="3"/>
        <v>256545.42900000006</v>
      </c>
      <c r="Y11" s="47">
        <f t="shared" si="3"/>
        <v>256545.42900000006</v>
      </c>
      <c r="Z11" s="47">
        <f t="shared" si="3"/>
        <v>256545.42900000006</v>
      </c>
      <c r="AA11" s="47">
        <f t="shared" si="3"/>
        <v>256545.42900000006</v>
      </c>
      <c r="AB11" s="47">
        <f t="shared" si="3"/>
        <v>256545.42900000006</v>
      </c>
      <c r="AC11" s="47">
        <f t="shared" si="3"/>
        <v>256545.42900000006</v>
      </c>
      <c r="AD11" s="47">
        <f t="shared" si="3"/>
        <v>256545.42900000006</v>
      </c>
      <c r="AE11" s="47">
        <f t="shared" si="3"/>
        <v>256545.42900000006</v>
      </c>
      <c r="AF11" s="47">
        <f t="shared" si="3"/>
        <v>256545.42900000006</v>
      </c>
      <c r="AG11" s="47">
        <f t="shared" si="3"/>
        <v>256545.42900000006</v>
      </c>
      <c r="AH11" s="47">
        <f t="shared" si="3"/>
        <v>256545.42900000006</v>
      </c>
    </row>
    <row r="12" spans="1:39" ht="18" customHeight="1">
      <c r="A12" s="41" t="s">
        <v>41</v>
      </c>
      <c r="B12" s="48">
        <f>Personale!$K$7/2</f>
        <v>96445.650000000023</v>
      </c>
      <c r="C12" s="48">
        <f>Personale!$K$7</f>
        <v>192891.30000000005</v>
      </c>
      <c r="D12" s="48">
        <f>Personale!$K$7</f>
        <v>192891.30000000005</v>
      </c>
      <c r="E12" s="48">
        <f>Personale!$K$7</f>
        <v>192891.30000000005</v>
      </c>
      <c r="F12" s="48">
        <f>Personale!$K$7</f>
        <v>192891.30000000005</v>
      </c>
      <c r="G12" s="48">
        <f>Personale!$K$7</f>
        <v>192891.30000000005</v>
      </c>
      <c r="H12" s="48">
        <f>Personale!$K$7</f>
        <v>192891.30000000005</v>
      </c>
      <c r="I12" s="48">
        <f>Personale!$K$7</f>
        <v>192891.30000000005</v>
      </c>
      <c r="J12" s="48">
        <f>Personale!$K$7</f>
        <v>192891.30000000005</v>
      </c>
      <c r="K12" s="48">
        <f>Personale!$K$7</f>
        <v>192891.30000000005</v>
      </c>
      <c r="L12" s="48">
        <f>Personale!$K$7</f>
        <v>192891.30000000005</v>
      </c>
      <c r="M12" s="48">
        <f>Personale!$K$7</f>
        <v>192891.30000000005</v>
      </c>
      <c r="N12" s="48">
        <f>Personale!$K$7</f>
        <v>192891.30000000005</v>
      </c>
      <c r="O12" s="48">
        <f>Personale!$K$7</f>
        <v>192891.30000000005</v>
      </c>
      <c r="P12" s="48">
        <f>Personale!$K$7</f>
        <v>192891.30000000005</v>
      </c>
      <c r="Q12" s="48">
        <f>Personale!$K$7</f>
        <v>192891.30000000005</v>
      </c>
      <c r="R12" s="48">
        <f>Personale!$K$7</f>
        <v>192891.30000000005</v>
      </c>
      <c r="S12" s="48">
        <f>Personale!$K$7</f>
        <v>192891.30000000005</v>
      </c>
      <c r="T12" s="48">
        <f>Personale!$K$7</f>
        <v>192891.30000000005</v>
      </c>
      <c r="U12" s="48">
        <f>Personale!$K$7</f>
        <v>192891.30000000005</v>
      </c>
      <c r="V12" s="48">
        <f>Personale!$K$7</f>
        <v>192891.30000000005</v>
      </c>
      <c r="W12" s="48">
        <f>Personale!$K$7</f>
        <v>192891.30000000005</v>
      </c>
      <c r="X12" s="48">
        <f>Personale!$K$7</f>
        <v>192891.30000000005</v>
      </c>
      <c r="Y12" s="48">
        <f>Personale!$K$7</f>
        <v>192891.30000000005</v>
      </c>
      <c r="Z12" s="48">
        <f>Personale!$K$7</f>
        <v>192891.30000000005</v>
      </c>
      <c r="AA12" s="48">
        <f>Personale!$K$7</f>
        <v>192891.30000000005</v>
      </c>
      <c r="AB12" s="48">
        <f>Personale!$K$7</f>
        <v>192891.30000000005</v>
      </c>
      <c r="AC12" s="48">
        <f>Personale!$K$7</f>
        <v>192891.30000000005</v>
      </c>
      <c r="AD12" s="48">
        <f>Personale!$K$7</f>
        <v>192891.30000000005</v>
      </c>
      <c r="AE12" s="48">
        <f>Personale!$K$7</f>
        <v>192891.30000000005</v>
      </c>
      <c r="AF12" s="48">
        <f>Personale!$K$7</f>
        <v>192891.30000000005</v>
      </c>
      <c r="AG12" s="48">
        <f>Personale!$K$7</f>
        <v>192891.30000000005</v>
      </c>
      <c r="AH12" s="48">
        <f>Personale!$K$7</f>
        <v>192891.30000000005</v>
      </c>
    </row>
    <row r="13" spans="1:39" ht="18" customHeight="1">
      <c r="A13" s="41" t="s">
        <v>42</v>
      </c>
      <c r="B13" s="48">
        <f>Personale!$L$7/2</f>
        <v>31827.064500000004</v>
      </c>
      <c r="C13" s="48">
        <f>Personale!$L$7</f>
        <v>63654.129000000008</v>
      </c>
      <c r="D13" s="48">
        <f>Personale!$L$7</f>
        <v>63654.129000000008</v>
      </c>
      <c r="E13" s="48">
        <f>Personale!$L$7</f>
        <v>63654.129000000008</v>
      </c>
      <c r="F13" s="48">
        <f>Personale!$L$7</f>
        <v>63654.129000000008</v>
      </c>
      <c r="G13" s="48">
        <f>Personale!$L$7</f>
        <v>63654.129000000008</v>
      </c>
      <c r="H13" s="48">
        <f>Personale!$L$7</f>
        <v>63654.129000000008</v>
      </c>
      <c r="I13" s="48">
        <f>Personale!$L$7</f>
        <v>63654.129000000008</v>
      </c>
      <c r="J13" s="48">
        <f>Personale!$L$7</f>
        <v>63654.129000000008</v>
      </c>
      <c r="K13" s="48">
        <f>Personale!$L$7</f>
        <v>63654.129000000008</v>
      </c>
      <c r="L13" s="48">
        <f>Personale!$L$7</f>
        <v>63654.129000000008</v>
      </c>
      <c r="M13" s="48">
        <f>Personale!$L$7</f>
        <v>63654.129000000008</v>
      </c>
      <c r="N13" s="48">
        <f>Personale!$L$7</f>
        <v>63654.129000000008</v>
      </c>
      <c r="O13" s="48">
        <f>Personale!$L$7</f>
        <v>63654.129000000008</v>
      </c>
      <c r="P13" s="48">
        <f>Personale!$L$7</f>
        <v>63654.129000000008</v>
      </c>
      <c r="Q13" s="48">
        <f>Personale!$L$7</f>
        <v>63654.129000000008</v>
      </c>
      <c r="R13" s="48">
        <f>Personale!$L$7</f>
        <v>63654.129000000008</v>
      </c>
      <c r="S13" s="48">
        <f>Personale!$L$7</f>
        <v>63654.129000000008</v>
      </c>
      <c r="T13" s="48">
        <f>Personale!$L$7</f>
        <v>63654.129000000008</v>
      </c>
      <c r="U13" s="48">
        <f>Personale!$L$7</f>
        <v>63654.129000000008</v>
      </c>
      <c r="V13" s="48">
        <f>Personale!$L$7</f>
        <v>63654.129000000008</v>
      </c>
      <c r="W13" s="48">
        <f>Personale!$L$7</f>
        <v>63654.129000000008</v>
      </c>
      <c r="X13" s="48">
        <f>Personale!$L$7</f>
        <v>63654.129000000008</v>
      </c>
      <c r="Y13" s="48">
        <f>Personale!$L$7</f>
        <v>63654.129000000008</v>
      </c>
      <c r="Z13" s="48">
        <f>Personale!$L$7</f>
        <v>63654.129000000008</v>
      </c>
      <c r="AA13" s="48">
        <f>Personale!$L$7</f>
        <v>63654.129000000008</v>
      </c>
      <c r="AB13" s="48">
        <f>Personale!$L$7</f>
        <v>63654.129000000008</v>
      </c>
      <c r="AC13" s="48">
        <f>Personale!$L$7</f>
        <v>63654.129000000008</v>
      </c>
      <c r="AD13" s="48">
        <f>Personale!$L$7</f>
        <v>63654.129000000008</v>
      </c>
      <c r="AE13" s="48">
        <f>Personale!$L$7</f>
        <v>63654.129000000008</v>
      </c>
      <c r="AF13" s="48">
        <f>Personale!$L$7</f>
        <v>63654.129000000008</v>
      </c>
      <c r="AG13" s="48">
        <f>Personale!$L$7</f>
        <v>63654.129000000008</v>
      </c>
      <c r="AH13" s="48">
        <f>Personale!$L$7</f>
        <v>63654.129000000008</v>
      </c>
    </row>
    <row r="14" spans="1:39" ht="6.75" customHeight="1">
      <c r="A14" s="41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</row>
    <row r="15" spans="1:39" s="2" customFormat="1" ht="18" customHeight="1">
      <c r="A15" s="269" t="s">
        <v>49</v>
      </c>
      <c r="B15" s="47">
        <f>(('Costi operativi'!B12)/13.5)</f>
        <v>7144.1222222222241</v>
      </c>
      <c r="C15" s="47">
        <f>(('Costi operativi'!C12)/13.5)</f>
        <v>14288.244444444448</v>
      </c>
      <c r="D15" s="47">
        <f>(('Costi operativi'!D12)/13.5)</f>
        <v>14288.244444444448</v>
      </c>
      <c r="E15" s="47">
        <f>(('Costi operativi'!E12)/13.5)</f>
        <v>14288.244444444448</v>
      </c>
      <c r="F15" s="47">
        <f>(('Costi operativi'!F12)/13.5)</f>
        <v>14288.244444444448</v>
      </c>
      <c r="G15" s="47">
        <f>(('Costi operativi'!G12)/13.5)</f>
        <v>14288.244444444448</v>
      </c>
      <c r="H15" s="47">
        <f>(('Costi operativi'!H12)/13.5)</f>
        <v>14288.244444444448</v>
      </c>
      <c r="I15" s="47">
        <f>(('Costi operativi'!I12)/13.5)</f>
        <v>14288.244444444448</v>
      </c>
      <c r="J15" s="47">
        <f>(('Costi operativi'!J12)/13.5)</f>
        <v>14288.244444444448</v>
      </c>
      <c r="K15" s="47">
        <f>(('Costi operativi'!K12)/13.5)</f>
        <v>14288.244444444448</v>
      </c>
      <c r="L15" s="47">
        <f>(('Costi operativi'!L12)/13.5)</f>
        <v>14288.244444444448</v>
      </c>
      <c r="M15" s="47">
        <f>(('Costi operativi'!M12)/13.5)</f>
        <v>14288.244444444448</v>
      </c>
      <c r="N15" s="47">
        <f>(('Costi operativi'!N12)/13.5)</f>
        <v>14288.244444444448</v>
      </c>
      <c r="O15" s="47">
        <f>(('Costi operativi'!O12)/13.5)</f>
        <v>14288.244444444448</v>
      </c>
      <c r="P15" s="47">
        <f>(('Costi operativi'!P12)/13.5)</f>
        <v>14288.244444444448</v>
      </c>
      <c r="Q15" s="47">
        <f>(('Costi operativi'!Q12)/13.5)</f>
        <v>14288.244444444448</v>
      </c>
      <c r="R15" s="47">
        <f>(('Costi operativi'!R12)/13.5)</f>
        <v>14288.244444444448</v>
      </c>
      <c r="S15" s="47">
        <f>(('Costi operativi'!S12)/13.5)</f>
        <v>14288.244444444448</v>
      </c>
      <c r="T15" s="47">
        <f>(('Costi operativi'!T12)/13.5)</f>
        <v>14288.244444444448</v>
      </c>
      <c r="U15" s="47">
        <f>(('Costi operativi'!U12)/13.5)</f>
        <v>14288.244444444448</v>
      </c>
      <c r="V15" s="47">
        <f>(('Costi operativi'!V12)/13.5)</f>
        <v>14288.244444444448</v>
      </c>
      <c r="W15" s="47">
        <f>(('Costi operativi'!W12)/13.5)</f>
        <v>14288.244444444448</v>
      </c>
      <c r="X15" s="47">
        <f>(('Costi operativi'!X12)/13.5)</f>
        <v>14288.244444444448</v>
      </c>
      <c r="Y15" s="47">
        <f>(('Costi operativi'!Y12)/13.5)</f>
        <v>14288.244444444448</v>
      </c>
      <c r="Z15" s="47">
        <f>(('Costi operativi'!Z12)/13.5)</f>
        <v>14288.244444444448</v>
      </c>
      <c r="AA15" s="47">
        <f>(('Costi operativi'!AA12)/13.5)</f>
        <v>14288.244444444448</v>
      </c>
      <c r="AB15" s="47">
        <f>(('Costi operativi'!AB12)/13.5)</f>
        <v>14288.244444444448</v>
      </c>
      <c r="AC15" s="47">
        <f>(('Costi operativi'!AC12)/13.5)</f>
        <v>14288.244444444448</v>
      </c>
      <c r="AD15" s="47">
        <f>(('Costi operativi'!AD12)/13.5)</f>
        <v>14288.244444444448</v>
      </c>
      <c r="AE15" s="47">
        <f>(('Costi operativi'!AE12)/13.5)</f>
        <v>14288.244444444448</v>
      </c>
      <c r="AF15" s="47">
        <f>(('Costi operativi'!AF12)/13.5)</f>
        <v>14288.244444444448</v>
      </c>
      <c r="AG15" s="47">
        <f>(('Costi operativi'!AG12)/13.5)</f>
        <v>14288.244444444448</v>
      </c>
      <c r="AH15" s="47">
        <f>(('Costi operativi'!AH12)/13.5)</f>
        <v>14288.244444444448</v>
      </c>
    </row>
    <row r="16" spans="1:39" ht="6.75" customHeight="1">
      <c r="A16" s="41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</row>
    <row r="17" spans="1:39" s="2" customFormat="1" ht="18" customHeight="1">
      <c r="A17" s="2" t="s">
        <v>274</v>
      </c>
      <c r="B17" s="47">
        <v>10000</v>
      </c>
      <c r="C17" s="47">
        <v>20000</v>
      </c>
      <c r="D17" s="47">
        <v>20000</v>
      </c>
      <c r="E17" s="47">
        <v>20000</v>
      </c>
      <c r="F17" s="47">
        <v>20000</v>
      </c>
      <c r="G17" s="47">
        <v>20000</v>
      </c>
      <c r="H17" s="47">
        <v>20000</v>
      </c>
      <c r="I17" s="47">
        <v>20000</v>
      </c>
      <c r="J17" s="47">
        <v>20000</v>
      </c>
      <c r="K17" s="47">
        <v>20000</v>
      </c>
      <c r="L17" s="47">
        <v>20000</v>
      </c>
      <c r="M17" s="47">
        <v>20000</v>
      </c>
      <c r="N17" s="47">
        <v>20000</v>
      </c>
      <c r="O17" s="47">
        <v>20000</v>
      </c>
      <c r="P17" s="47">
        <v>20000</v>
      </c>
      <c r="Q17" s="47">
        <v>20000</v>
      </c>
      <c r="R17" s="47">
        <v>20000</v>
      </c>
      <c r="S17" s="47">
        <v>20000</v>
      </c>
      <c r="T17" s="47">
        <v>20000</v>
      </c>
      <c r="U17" s="47">
        <v>20000</v>
      </c>
      <c r="V17" s="372">
        <v>20000</v>
      </c>
      <c r="W17" s="372">
        <v>20000</v>
      </c>
      <c r="X17" s="372">
        <v>20000</v>
      </c>
      <c r="Y17" s="372">
        <v>20000</v>
      </c>
      <c r="Z17" s="372">
        <v>20000</v>
      </c>
      <c r="AA17" s="372">
        <v>20000</v>
      </c>
      <c r="AB17" s="372">
        <v>20000</v>
      </c>
      <c r="AC17" s="372">
        <v>20000</v>
      </c>
      <c r="AD17" s="372">
        <v>20000</v>
      </c>
      <c r="AE17" s="372">
        <v>20000</v>
      </c>
      <c r="AF17" s="372">
        <v>20000</v>
      </c>
      <c r="AG17" s="372">
        <v>20000</v>
      </c>
      <c r="AH17" s="372">
        <v>20000</v>
      </c>
    </row>
    <row r="18" spans="1:39" s="2" customFormat="1" ht="18" customHeight="1">
      <c r="A18" s="2" t="s">
        <v>590</v>
      </c>
      <c r="B18" s="47">
        <f t="shared" ref="B18:L18" si="4">+B19+B20+B26+B27</f>
        <v>67600</v>
      </c>
      <c r="C18" s="47">
        <f t="shared" si="4"/>
        <v>135200</v>
      </c>
      <c r="D18" s="47">
        <f t="shared" si="4"/>
        <v>135200</v>
      </c>
      <c r="E18" s="47">
        <f t="shared" si="4"/>
        <v>135200</v>
      </c>
      <c r="F18" s="47">
        <f t="shared" si="4"/>
        <v>135200</v>
      </c>
      <c r="G18" s="47">
        <f t="shared" si="4"/>
        <v>135200</v>
      </c>
      <c r="H18" s="47">
        <f t="shared" si="4"/>
        <v>135200</v>
      </c>
      <c r="I18" s="47">
        <f t="shared" si="4"/>
        <v>135200</v>
      </c>
      <c r="J18" s="47">
        <f t="shared" si="4"/>
        <v>135200</v>
      </c>
      <c r="K18" s="47">
        <f t="shared" si="4"/>
        <v>135200</v>
      </c>
      <c r="L18" s="47">
        <f t="shared" si="4"/>
        <v>135200</v>
      </c>
      <c r="M18" s="47">
        <f>+M19+M20+M26+M27</f>
        <v>135200</v>
      </c>
      <c r="N18" s="47">
        <f t="shared" ref="N18:AH18" si="5">+N19+N20+N26+N27</f>
        <v>135200</v>
      </c>
      <c r="O18" s="47">
        <f t="shared" si="5"/>
        <v>135200</v>
      </c>
      <c r="P18" s="47">
        <f t="shared" si="5"/>
        <v>135200</v>
      </c>
      <c r="Q18" s="47">
        <f t="shared" si="5"/>
        <v>135200</v>
      </c>
      <c r="R18" s="47">
        <f t="shared" si="5"/>
        <v>135200</v>
      </c>
      <c r="S18" s="47">
        <f t="shared" si="5"/>
        <v>135200</v>
      </c>
      <c r="T18" s="47">
        <f t="shared" si="5"/>
        <v>135200</v>
      </c>
      <c r="U18" s="47">
        <f t="shared" si="5"/>
        <v>135200</v>
      </c>
      <c r="V18" s="47">
        <f t="shared" si="5"/>
        <v>135200</v>
      </c>
      <c r="W18" s="47">
        <f t="shared" si="5"/>
        <v>135200</v>
      </c>
      <c r="X18" s="47">
        <f t="shared" si="5"/>
        <v>135200</v>
      </c>
      <c r="Y18" s="47">
        <f t="shared" si="5"/>
        <v>135200</v>
      </c>
      <c r="Z18" s="47">
        <f t="shared" si="5"/>
        <v>135200</v>
      </c>
      <c r="AA18" s="47">
        <f t="shared" si="5"/>
        <v>135200</v>
      </c>
      <c r="AB18" s="47">
        <f t="shared" si="5"/>
        <v>135200</v>
      </c>
      <c r="AC18" s="47">
        <f t="shared" si="5"/>
        <v>135200</v>
      </c>
      <c r="AD18" s="47">
        <f t="shared" si="5"/>
        <v>135200</v>
      </c>
      <c r="AE18" s="47">
        <f t="shared" si="5"/>
        <v>135200</v>
      </c>
      <c r="AF18" s="47">
        <f t="shared" si="5"/>
        <v>135200</v>
      </c>
      <c r="AG18" s="47">
        <f t="shared" si="5"/>
        <v>135200</v>
      </c>
      <c r="AH18" s="47">
        <f t="shared" si="5"/>
        <v>135200</v>
      </c>
    </row>
    <row r="19" spans="1:39" s="2" customFormat="1" ht="18" customHeight="1">
      <c r="A19" s="475" t="s">
        <v>587</v>
      </c>
      <c r="B19" s="48">
        <f>(13000+10000+10000)/2</f>
        <v>16500</v>
      </c>
      <c r="C19" s="48">
        <f t="shared" ref="C19:AH19" si="6">13000+10000+10000</f>
        <v>33000</v>
      </c>
      <c r="D19" s="48">
        <f t="shared" si="6"/>
        <v>33000</v>
      </c>
      <c r="E19" s="48">
        <f t="shared" si="6"/>
        <v>33000</v>
      </c>
      <c r="F19" s="48">
        <f t="shared" si="6"/>
        <v>33000</v>
      </c>
      <c r="G19" s="48">
        <f t="shared" si="6"/>
        <v>33000</v>
      </c>
      <c r="H19" s="48">
        <f t="shared" si="6"/>
        <v>33000</v>
      </c>
      <c r="I19" s="48">
        <f t="shared" si="6"/>
        <v>33000</v>
      </c>
      <c r="J19" s="48">
        <f t="shared" si="6"/>
        <v>33000</v>
      </c>
      <c r="K19" s="48">
        <f t="shared" si="6"/>
        <v>33000</v>
      </c>
      <c r="L19" s="48">
        <f t="shared" si="6"/>
        <v>33000</v>
      </c>
      <c r="M19" s="48">
        <f t="shared" si="6"/>
        <v>33000</v>
      </c>
      <c r="N19" s="48">
        <f t="shared" si="6"/>
        <v>33000</v>
      </c>
      <c r="O19" s="48">
        <f t="shared" si="6"/>
        <v>33000</v>
      </c>
      <c r="P19" s="48">
        <f t="shared" si="6"/>
        <v>33000</v>
      </c>
      <c r="Q19" s="48">
        <f t="shared" si="6"/>
        <v>33000</v>
      </c>
      <c r="R19" s="48">
        <f t="shared" si="6"/>
        <v>33000</v>
      </c>
      <c r="S19" s="48">
        <f t="shared" si="6"/>
        <v>33000</v>
      </c>
      <c r="T19" s="48">
        <f t="shared" si="6"/>
        <v>33000</v>
      </c>
      <c r="U19" s="48">
        <f t="shared" si="6"/>
        <v>33000</v>
      </c>
      <c r="V19" s="48">
        <f t="shared" si="6"/>
        <v>33000</v>
      </c>
      <c r="W19" s="48">
        <f t="shared" si="6"/>
        <v>33000</v>
      </c>
      <c r="X19" s="48">
        <f t="shared" si="6"/>
        <v>33000</v>
      </c>
      <c r="Y19" s="48">
        <f t="shared" si="6"/>
        <v>33000</v>
      </c>
      <c r="Z19" s="48">
        <f t="shared" si="6"/>
        <v>33000</v>
      </c>
      <c r="AA19" s="48">
        <f t="shared" si="6"/>
        <v>33000</v>
      </c>
      <c r="AB19" s="48">
        <f t="shared" si="6"/>
        <v>33000</v>
      </c>
      <c r="AC19" s="48">
        <f t="shared" si="6"/>
        <v>33000</v>
      </c>
      <c r="AD19" s="48">
        <f t="shared" si="6"/>
        <v>33000</v>
      </c>
      <c r="AE19" s="48">
        <f t="shared" si="6"/>
        <v>33000</v>
      </c>
      <c r="AF19" s="48">
        <f t="shared" si="6"/>
        <v>33000</v>
      </c>
      <c r="AG19" s="48">
        <f t="shared" si="6"/>
        <v>33000</v>
      </c>
      <c r="AH19" s="48">
        <f t="shared" si="6"/>
        <v>33000</v>
      </c>
    </row>
    <row r="20" spans="1:39" s="2" customFormat="1" ht="18" customHeight="1">
      <c r="A20" s="475" t="s">
        <v>610</v>
      </c>
      <c r="B20" s="48">
        <f>+SUM(B21:B25)</f>
        <v>45000</v>
      </c>
      <c r="C20" s="48">
        <f>+SUM(C21:C25)</f>
        <v>90000</v>
      </c>
      <c r="D20" s="48">
        <f t="shared" ref="D20:AH20" si="7">+SUM(D21:D25)</f>
        <v>90000</v>
      </c>
      <c r="E20" s="48">
        <f t="shared" si="7"/>
        <v>90000</v>
      </c>
      <c r="F20" s="48">
        <f t="shared" si="7"/>
        <v>90000</v>
      </c>
      <c r="G20" s="48">
        <f t="shared" si="7"/>
        <v>90000</v>
      </c>
      <c r="H20" s="48">
        <f t="shared" si="7"/>
        <v>90000</v>
      </c>
      <c r="I20" s="48">
        <f t="shared" si="7"/>
        <v>90000</v>
      </c>
      <c r="J20" s="48">
        <f t="shared" si="7"/>
        <v>90000</v>
      </c>
      <c r="K20" s="48">
        <f t="shared" si="7"/>
        <v>90000</v>
      </c>
      <c r="L20" s="48">
        <f t="shared" si="7"/>
        <v>90000</v>
      </c>
      <c r="M20" s="48">
        <f t="shared" si="7"/>
        <v>90000</v>
      </c>
      <c r="N20" s="48">
        <f t="shared" si="7"/>
        <v>90000</v>
      </c>
      <c r="O20" s="48">
        <f t="shared" si="7"/>
        <v>90000</v>
      </c>
      <c r="P20" s="48">
        <f t="shared" si="7"/>
        <v>90000</v>
      </c>
      <c r="Q20" s="48">
        <f t="shared" si="7"/>
        <v>90000</v>
      </c>
      <c r="R20" s="48">
        <f t="shared" si="7"/>
        <v>90000</v>
      </c>
      <c r="S20" s="48">
        <f t="shared" si="7"/>
        <v>90000</v>
      </c>
      <c r="T20" s="48">
        <f t="shared" si="7"/>
        <v>90000</v>
      </c>
      <c r="U20" s="48">
        <f t="shared" si="7"/>
        <v>90000</v>
      </c>
      <c r="V20" s="48">
        <f t="shared" si="7"/>
        <v>90000</v>
      </c>
      <c r="W20" s="48">
        <f t="shared" si="7"/>
        <v>90000</v>
      </c>
      <c r="X20" s="48">
        <f t="shared" si="7"/>
        <v>90000</v>
      </c>
      <c r="Y20" s="48">
        <f t="shared" si="7"/>
        <v>90000</v>
      </c>
      <c r="Z20" s="48">
        <f t="shared" si="7"/>
        <v>90000</v>
      </c>
      <c r="AA20" s="48">
        <f t="shared" si="7"/>
        <v>90000</v>
      </c>
      <c r="AB20" s="48">
        <f t="shared" si="7"/>
        <v>90000</v>
      </c>
      <c r="AC20" s="48">
        <f t="shared" si="7"/>
        <v>90000</v>
      </c>
      <c r="AD20" s="48">
        <f t="shared" si="7"/>
        <v>90000</v>
      </c>
      <c r="AE20" s="48">
        <f t="shared" si="7"/>
        <v>90000</v>
      </c>
      <c r="AF20" s="48">
        <f t="shared" si="7"/>
        <v>90000</v>
      </c>
      <c r="AG20" s="48">
        <f t="shared" si="7"/>
        <v>90000</v>
      </c>
      <c r="AH20" s="48">
        <f t="shared" si="7"/>
        <v>90000</v>
      </c>
    </row>
    <row r="21" spans="1:39" s="2" customFormat="1" ht="18" customHeight="1">
      <c r="A21" s="505" t="s">
        <v>949</v>
      </c>
      <c r="B21" s="506">
        <v>30000</v>
      </c>
      <c r="C21" s="506">
        <v>60000</v>
      </c>
      <c r="D21" s="506">
        <v>60000</v>
      </c>
      <c r="E21" s="506">
        <v>60000</v>
      </c>
      <c r="F21" s="506">
        <v>60000</v>
      </c>
      <c r="G21" s="506">
        <v>60000</v>
      </c>
      <c r="H21" s="506">
        <v>60000</v>
      </c>
      <c r="I21" s="506">
        <v>60000</v>
      </c>
      <c r="J21" s="506">
        <v>60000</v>
      </c>
      <c r="K21" s="506">
        <v>60000</v>
      </c>
      <c r="L21" s="506">
        <v>60000</v>
      </c>
      <c r="M21" s="506">
        <v>60000</v>
      </c>
      <c r="N21" s="506">
        <v>60000</v>
      </c>
      <c r="O21" s="506">
        <v>60000</v>
      </c>
      <c r="P21" s="506">
        <v>60000</v>
      </c>
      <c r="Q21" s="506">
        <v>60000</v>
      </c>
      <c r="R21" s="506">
        <v>60000</v>
      </c>
      <c r="S21" s="506">
        <v>60000</v>
      </c>
      <c r="T21" s="506">
        <v>60000</v>
      </c>
      <c r="U21" s="506">
        <v>60000</v>
      </c>
      <c r="V21" s="506">
        <v>60000</v>
      </c>
      <c r="W21" s="506">
        <v>60000</v>
      </c>
      <c r="X21" s="506">
        <v>60000</v>
      </c>
      <c r="Y21" s="506">
        <v>60000</v>
      </c>
      <c r="Z21" s="506">
        <v>60000</v>
      </c>
      <c r="AA21" s="506">
        <v>60000</v>
      </c>
      <c r="AB21" s="506">
        <v>60000</v>
      </c>
      <c r="AC21" s="506">
        <v>60000</v>
      </c>
      <c r="AD21" s="506">
        <v>60000</v>
      </c>
      <c r="AE21" s="506">
        <v>60000</v>
      </c>
      <c r="AF21" s="506">
        <v>60000</v>
      </c>
      <c r="AG21" s="506">
        <v>60000</v>
      </c>
      <c r="AH21" s="506">
        <v>60000</v>
      </c>
    </row>
    <row r="22" spans="1:39" s="2" customFormat="1" ht="18" customHeight="1">
      <c r="A22" s="505" t="s">
        <v>950</v>
      </c>
      <c r="B22" s="506">
        <v>7500</v>
      </c>
      <c r="C22" s="506">
        <v>15000</v>
      </c>
      <c r="D22" s="506">
        <v>15000</v>
      </c>
      <c r="E22" s="506">
        <v>15000</v>
      </c>
      <c r="F22" s="506">
        <v>15000</v>
      </c>
      <c r="G22" s="506">
        <v>15000</v>
      </c>
      <c r="H22" s="506">
        <v>15000</v>
      </c>
      <c r="I22" s="506">
        <v>15000</v>
      </c>
      <c r="J22" s="506">
        <v>15000</v>
      </c>
      <c r="K22" s="506">
        <v>15000</v>
      </c>
      <c r="L22" s="506">
        <v>15000</v>
      </c>
      <c r="M22" s="506">
        <v>15000</v>
      </c>
      <c r="N22" s="506">
        <v>15000</v>
      </c>
      <c r="O22" s="506">
        <v>15000</v>
      </c>
      <c r="P22" s="506">
        <v>15000</v>
      </c>
      <c r="Q22" s="506">
        <v>15000</v>
      </c>
      <c r="R22" s="506">
        <v>15000</v>
      </c>
      <c r="S22" s="506">
        <v>15000</v>
      </c>
      <c r="T22" s="506">
        <v>15000</v>
      </c>
      <c r="U22" s="506">
        <v>15000</v>
      </c>
      <c r="V22" s="506">
        <v>15000</v>
      </c>
      <c r="W22" s="506">
        <v>15000</v>
      </c>
      <c r="X22" s="506">
        <v>15000</v>
      </c>
      <c r="Y22" s="506">
        <v>15000</v>
      </c>
      <c r="Z22" s="506">
        <v>15000</v>
      </c>
      <c r="AA22" s="506">
        <v>15000</v>
      </c>
      <c r="AB22" s="506">
        <v>15000</v>
      </c>
      <c r="AC22" s="506">
        <v>15000</v>
      </c>
      <c r="AD22" s="506">
        <v>15000</v>
      </c>
      <c r="AE22" s="506">
        <v>15000</v>
      </c>
      <c r="AF22" s="506">
        <v>15000</v>
      </c>
      <c r="AG22" s="506">
        <v>15000</v>
      </c>
      <c r="AH22" s="506">
        <v>15000</v>
      </c>
    </row>
    <row r="23" spans="1:39" s="2" customFormat="1" ht="18" customHeight="1">
      <c r="A23" s="505" t="s">
        <v>951</v>
      </c>
      <c r="B23" s="506">
        <v>7500</v>
      </c>
      <c r="C23" s="506">
        <v>15000</v>
      </c>
      <c r="D23" s="506">
        <v>15000</v>
      </c>
      <c r="E23" s="506">
        <v>15000</v>
      </c>
      <c r="F23" s="506">
        <v>15000</v>
      </c>
      <c r="G23" s="506">
        <v>15000</v>
      </c>
      <c r="H23" s="506">
        <v>15000</v>
      </c>
      <c r="I23" s="506">
        <v>15000</v>
      </c>
      <c r="J23" s="506">
        <v>15000</v>
      </c>
      <c r="K23" s="506">
        <v>15000</v>
      </c>
      <c r="L23" s="506">
        <v>15000</v>
      </c>
      <c r="M23" s="506">
        <v>15000</v>
      </c>
      <c r="N23" s="506">
        <v>15000</v>
      </c>
      <c r="O23" s="506">
        <v>15000</v>
      </c>
      <c r="P23" s="506">
        <v>15000</v>
      </c>
      <c r="Q23" s="506">
        <v>15000</v>
      </c>
      <c r="R23" s="506">
        <v>15000</v>
      </c>
      <c r="S23" s="506">
        <v>15000</v>
      </c>
      <c r="T23" s="506">
        <v>15000</v>
      </c>
      <c r="U23" s="506">
        <v>15000</v>
      </c>
      <c r="V23" s="506">
        <v>15000</v>
      </c>
      <c r="W23" s="506">
        <v>15000</v>
      </c>
      <c r="X23" s="506">
        <v>15000</v>
      </c>
      <c r="Y23" s="506">
        <v>15000</v>
      </c>
      <c r="Z23" s="506">
        <v>15000</v>
      </c>
      <c r="AA23" s="506">
        <v>15000</v>
      </c>
      <c r="AB23" s="506">
        <v>15000</v>
      </c>
      <c r="AC23" s="506">
        <v>15000</v>
      </c>
      <c r="AD23" s="506">
        <v>15000</v>
      </c>
      <c r="AE23" s="506">
        <v>15000</v>
      </c>
      <c r="AF23" s="506">
        <v>15000</v>
      </c>
      <c r="AG23" s="506">
        <v>15000</v>
      </c>
      <c r="AH23" s="506">
        <v>15000</v>
      </c>
    </row>
    <row r="24" spans="1:39" s="2" customFormat="1" ht="18" customHeight="1">
      <c r="A24" s="505" t="s">
        <v>952</v>
      </c>
      <c r="B24" s="506">
        <v>0</v>
      </c>
      <c r="C24" s="506">
        <v>0</v>
      </c>
      <c r="D24" s="506">
        <v>0</v>
      </c>
      <c r="E24" s="506">
        <v>0</v>
      </c>
      <c r="F24" s="506">
        <v>0</v>
      </c>
      <c r="G24" s="506">
        <v>0</v>
      </c>
      <c r="H24" s="506">
        <v>0</v>
      </c>
      <c r="I24" s="506">
        <v>0</v>
      </c>
      <c r="J24" s="506">
        <v>0</v>
      </c>
      <c r="K24" s="506">
        <v>0</v>
      </c>
      <c r="L24" s="506">
        <v>0</v>
      </c>
      <c r="M24" s="506">
        <v>0</v>
      </c>
      <c r="N24" s="506">
        <v>0</v>
      </c>
      <c r="O24" s="506">
        <v>0</v>
      </c>
      <c r="P24" s="506">
        <v>0</v>
      </c>
      <c r="Q24" s="506">
        <v>0</v>
      </c>
      <c r="R24" s="506">
        <v>0</v>
      </c>
      <c r="S24" s="506">
        <v>0</v>
      </c>
      <c r="T24" s="506">
        <v>0</v>
      </c>
      <c r="U24" s="506">
        <v>0</v>
      </c>
      <c r="V24" s="506">
        <v>0</v>
      </c>
      <c r="W24" s="506">
        <v>0</v>
      </c>
      <c r="X24" s="506">
        <v>0</v>
      </c>
      <c r="Y24" s="506">
        <v>0</v>
      </c>
      <c r="Z24" s="506">
        <v>0</v>
      </c>
      <c r="AA24" s="506">
        <v>0</v>
      </c>
      <c r="AB24" s="506">
        <v>0</v>
      </c>
      <c r="AC24" s="506">
        <v>0</v>
      </c>
      <c r="AD24" s="506">
        <v>0</v>
      </c>
      <c r="AE24" s="506">
        <v>0</v>
      </c>
      <c r="AF24" s="506">
        <v>0</v>
      </c>
      <c r="AG24" s="506">
        <v>0</v>
      </c>
      <c r="AH24" s="506">
        <v>0</v>
      </c>
    </row>
    <row r="25" spans="1:39" s="2" customFormat="1" ht="18" customHeight="1">
      <c r="A25" s="505" t="s">
        <v>953</v>
      </c>
      <c r="B25" s="506">
        <v>0</v>
      </c>
      <c r="C25" s="506">
        <v>0</v>
      </c>
      <c r="D25" s="506">
        <v>0</v>
      </c>
      <c r="E25" s="506">
        <v>0</v>
      </c>
      <c r="F25" s="506">
        <v>0</v>
      </c>
      <c r="G25" s="506">
        <v>0</v>
      </c>
      <c r="H25" s="506">
        <v>0</v>
      </c>
      <c r="I25" s="506">
        <v>0</v>
      </c>
      <c r="J25" s="506">
        <v>0</v>
      </c>
      <c r="K25" s="506">
        <v>0</v>
      </c>
      <c r="L25" s="506">
        <v>0</v>
      </c>
      <c r="M25" s="506">
        <v>0</v>
      </c>
      <c r="N25" s="506">
        <v>0</v>
      </c>
      <c r="O25" s="506">
        <v>0</v>
      </c>
      <c r="P25" s="506">
        <v>0</v>
      </c>
      <c r="Q25" s="506">
        <v>0</v>
      </c>
      <c r="R25" s="506">
        <v>0</v>
      </c>
      <c r="S25" s="506">
        <v>0</v>
      </c>
      <c r="T25" s="506">
        <v>0</v>
      </c>
      <c r="U25" s="506">
        <v>0</v>
      </c>
      <c r="V25" s="506">
        <v>0</v>
      </c>
      <c r="W25" s="506">
        <v>0</v>
      </c>
      <c r="X25" s="506">
        <v>0</v>
      </c>
      <c r="Y25" s="506">
        <v>0</v>
      </c>
      <c r="Z25" s="506">
        <v>0</v>
      </c>
      <c r="AA25" s="506">
        <v>0</v>
      </c>
      <c r="AB25" s="506">
        <v>0</v>
      </c>
      <c r="AC25" s="506">
        <v>0</v>
      </c>
      <c r="AD25" s="506">
        <v>0</v>
      </c>
      <c r="AE25" s="506">
        <v>0</v>
      </c>
      <c r="AF25" s="506">
        <v>0</v>
      </c>
      <c r="AG25" s="506">
        <v>0</v>
      </c>
      <c r="AH25" s="506">
        <v>0</v>
      </c>
    </row>
    <row r="26" spans="1:39" s="2" customFormat="1" ht="18" customHeight="1">
      <c r="A26" s="475" t="s">
        <v>588</v>
      </c>
      <c r="B26" s="48">
        <v>6100</v>
      </c>
      <c r="C26" s="48">
        <v>12200</v>
      </c>
      <c r="D26" s="48">
        <v>12200</v>
      </c>
      <c r="E26" s="48">
        <v>12200</v>
      </c>
      <c r="F26" s="48">
        <v>12200</v>
      </c>
      <c r="G26" s="48">
        <v>12200</v>
      </c>
      <c r="H26" s="48">
        <v>12200</v>
      </c>
      <c r="I26" s="48">
        <v>12200</v>
      </c>
      <c r="J26" s="48">
        <v>12200</v>
      </c>
      <c r="K26" s="48">
        <v>12200</v>
      </c>
      <c r="L26" s="48">
        <v>12200</v>
      </c>
      <c r="M26" s="48">
        <v>12200</v>
      </c>
      <c r="N26" s="48">
        <v>12200</v>
      </c>
      <c r="O26" s="48">
        <v>12200</v>
      </c>
      <c r="P26" s="48">
        <v>12200</v>
      </c>
      <c r="Q26" s="48">
        <v>12200</v>
      </c>
      <c r="R26" s="48">
        <v>12200</v>
      </c>
      <c r="S26" s="48">
        <v>12200</v>
      </c>
      <c r="T26" s="48">
        <v>12200</v>
      </c>
      <c r="U26" s="48">
        <v>12200</v>
      </c>
      <c r="V26" s="48">
        <v>12200</v>
      </c>
      <c r="W26" s="48">
        <v>12200</v>
      </c>
      <c r="X26" s="48">
        <v>12200</v>
      </c>
      <c r="Y26" s="48">
        <v>12200</v>
      </c>
      <c r="Z26" s="48">
        <v>12200</v>
      </c>
      <c r="AA26" s="48">
        <v>12200</v>
      </c>
      <c r="AB26" s="48">
        <v>12200</v>
      </c>
      <c r="AC26" s="48">
        <v>12200</v>
      </c>
      <c r="AD26" s="48">
        <v>12200</v>
      </c>
      <c r="AE26" s="48">
        <v>12200</v>
      </c>
      <c r="AF26" s="48">
        <v>12200</v>
      </c>
      <c r="AG26" s="48">
        <v>12200</v>
      </c>
      <c r="AH26" s="48">
        <v>12200</v>
      </c>
    </row>
    <row r="27" spans="1:39" s="2" customFormat="1" ht="18" customHeight="1">
      <c r="A27" s="475" t="s">
        <v>589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  <c r="AG27" s="48">
        <v>0</v>
      </c>
      <c r="AH27" s="48">
        <v>0</v>
      </c>
    </row>
    <row r="28" spans="1:39" s="2" customFormat="1" ht="18" customHeight="1" outlineLevel="1">
      <c r="A28" s="2" t="s">
        <v>275</v>
      </c>
      <c r="B28" s="47">
        <f>SUM(B29:B30)</f>
        <v>0</v>
      </c>
      <c r="C28" s="47">
        <f t="shared" ref="C28:U28" si="8">SUM(C29:C30)</f>
        <v>0</v>
      </c>
      <c r="D28" s="47">
        <f t="shared" si="8"/>
        <v>0</v>
      </c>
      <c r="E28" s="47">
        <f t="shared" si="8"/>
        <v>0</v>
      </c>
      <c r="F28" s="47">
        <f t="shared" si="8"/>
        <v>0</v>
      </c>
      <c r="G28" s="47">
        <f t="shared" si="8"/>
        <v>0</v>
      </c>
      <c r="H28" s="47">
        <f t="shared" si="8"/>
        <v>0</v>
      </c>
      <c r="I28" s="47">
        <f t="shared" si="8"/>
        <v>0</v>
      </c>
      <c r="J28" s="47">
        <f t="shared" si="8"/>
        <v>0</v>
      </c>
      <c r="K28" s="47">
        <f t="shared" si="8"/>
        <v>0</v>
      </c>
      <c r="L28" s="47">
        <f t="shared" si="8"/>
        <v>0</v>
      </c>
      <c r="M28" s="47">
        <f t="shared" si="8"/>
        <v>0</v>
      </c>
      <c r="N28" s="47">
        <f t="shared" si="8"/>
        <v>0</v>
      </c>
      <c r="O28" s="47">
        <f t="shared" si="8"/>
        <v>0</v>
      </c>
      <c r="P28" s="47">
        <f t="shared" si="8"/>
        <v>0</v>
      </c>
      <c r="Q28" s="47">
        <f t="shared" si="8"/>
        <v>0</v>
      </c>
      <c r="R28" s="47">
        <f t="shared" si="8"/>
        <v>0</v>
      </c>
      <c r="S28" s="47">
        <f t="shared" si="8"/>
        <v>0</v>
      </c>
      <c r="T28" s="47">
        <f t="shared" si="8"/>
        <v>0</v>
      </c>
      <c r="U28" s="47">
        <f t="shared" si="8"/>
        <v>0</v>
      </c>
      <c r="V28" s="47">
        <f t="shared" ref="V28:AH28" si="9">SUM(V29:V30)</f>
        <v>0</v>
      </c>
      <c r="W28" s="47">
        <f t="shared" si="9"/>
        <v>0</v>
      </c>
      <c r="X28" s="47">
        <f t="shared" si="9"/>
        <v>0</v>
      </c>
      <c r="Y28" s="47">
        <f t="shared" si="9"/>
        <v>0</v>
      </c>
      <c r="Z28" s="47">
        <f t="shared" si="9"/>
        <v>0</v>
      </c>
      <c r="AA28" s="47">
        <f t="shared" si="9"/>
        <v>0</v>
      </c>
      <c r="AB28" s="47">
        <f t="shared" si="9"/>
        <v>0</v>
      </c>
      <c r="AC28" s="47">
        <f t="shared" si="9"/>
        <v>0</v>
      </c>
      <c r="AD28" s="47">
        <f t="shared" si="9"/>
        <v>0</v>
      </c>
      <c r="AE28" s="47">
        <f t="shared" si="9"/>
        <v>0</v>
      </c>
      <c r="AF28" s="47">
        <f t="shared" si="9"/>
        <v>0</v>
      </c>
      <c r="AG28" s="47">
        <f t="shared" si="9"/>
        <v>0</v>
      </c>
      <c r="AH28" s="47">
        <f t="shared" si="9"/>
        <v>0</v>
      </c>
    </row>
    <row r="29" spans="1:39" s="2" customFormat="1" ht="18" customHeight="1" outlineLevel="1">
      <c r="A29" s="41" t="s">
        <v>278</v>
      </c>
      <c r="B29" s="329">
        <f>47*'Costi d''impianto'!$B$49/1000</f>
        <v>0</v>
      </c>
      <c r="C29" s="329"/>
      <c r="D29" s="329"/>
      <c r="E29" s="329"/>
      <c r="F29" s="329"/>
      <c r="G29" s="329"/>
      <c r="H29" s="329"/>
      <c r="I29" s="329"/>
      <c r="J29" s="329"/>
      <c r="K29" s="329"/>
      <c r="L29" s="329"/>
      <c r="M29" s="329"/>
      <c r="N29" s="329"/>
      <c r="O29" s="329"/>
      <c r="P29" s="329"/>
      <c r="Q29" s="329"/>
      <c r="R29" s="329"/>
      <c r="S29" s="329"/>
      <c r="T29" s="329"/>
      <c r="U29" s="329"/>
      <c r="V29" s="329"/>
      <c r="W29" s="329"/>
      <c r="X29" s="329"/>
      <c r="Y29" s="329"/>
      <c r="Z29" s="329"/>
      <c r="AA29" s="329"/>
      <c r="AB29" s="329"/>
      <c r="AC29" s="329"/>
      <c r="AD29" s="329"/>
      <c r="AE29" s="329"/>
      <c r="AF29" s="329"/>
      <c r="AG29" s="329"/>
      <c r="AH29" s="329"/>
    </row>
    <row r="30" spans="1:39" s="2" customFormat="1" ht="18" customHeight="1" outlineLevel="1">
      <c r="A30" s="41" t="s">
        <v>279</v>
      </c>
      <c r="B30" s="329">
        <f>25*'Costi d''impianto'!$B$49/1000</f>
        <v>0</v>
      </c>
      <c r="C30" s="329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</row>
    <row r="31" spans="1:39" s="2" customFormat="1" ht="18" customHeight="1" outlineLevel="1">
      <c r="A31" s="2" t="s">
        <v>54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47">
        <v>0</v>
      </c>
      <c r="U31" s="47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</row>
    <row r="32" spans="1:39" s="2" customFormat="1" ht="18" customHeight="1">
      <c r="A32" s="46" t="s">
        <v>78</v>
      </c>
      <c r="B32" s="47">
        <f>B3+B10+B11+B15+B17+B18+B28+B31</f>
        <v>224262.83672222224</v>
      </c>
      <c r="C32" s="47">
        <f t="shared" ref="C32:AH32" si="10">C3+C10+C11+C15+C17+C18+C28+C31</f>
        <v>448525.67344444449</v>
      </c>
      <c r="D32" s="47">
        <f t="shared" si="10"/>
        <v>448525.67344444449</v>
      </c>
      <c r="E32" s="47">
        <f t="shared" si="10"/>
        <v>448525.67344444449</v>
      </c>
      <c r="F32" s="47">
        <f t="shared" si="10"/>
        <v>448525.67344444449</v>
      </c>
      <c r="G32" s="47">
        <f t="shared" si="10"/>
        <v>448525.67344444449</v>
      </c>
      <c r="H32" s="47">
        <f t="shared" si="10"/>
        <v>448525.67344444449</v>
      </c>
      <c r="I32" s="47">
        <f t="shared" si="10"/>
        <v>448525.67344444449</v>
      </c>
      <c r="J32" s="47">
        <f t="shared" si="10"/>
        <v>448525.67344444449</v>
      </c>
      <c r="K32" s="47">
        <f t="shared" si="10"/>
        <v>448525.67344444449</v>
      </c>
      <c r="L32" s="47">
        <f t="shared" si="10"/>
        <v>448525.67344444449</v>
      </c>
      <c r="M32" s="47">
        <f t="shared" si="10"/>
        <v>448525.67344444449</v>
      </c>
      <c r="N32" s="47">
        <f t="shared" si="10"/>
        <v>448525.67344444449</v>
      </c>
      <c r="O32" s="47">
        <f t="shared" si="10"/>
        <v>448525.67344444449</v>
      </c>
      <c r="P32" s="47">
        <f t="shared" si="10"/>
        <v>448525.67344444449</v>
      </c>
      <c r="Q32" s="47">
        <f t="shared" si="10"/>
        <v>448525.67344444449</v>
      </c>
      <c r="R32" s="47">
        <f t="shared" si="10"/>
        <v>448525.67344444449</v>
      </c>
      <c r="S32" s="47">
        <f t="shared" si="10"/>
        <v>448525.67344444449</v>
      </c>
      <c r="T32" s="47">
        <f t="shared" si="10"/>
        <v>448525.67344444449</v>
      </c>
      <c r="U32" s="47">
        <f t="shared" si="10"/>
        <v>448525.67344444449</v>
      </c>
      <c r="V32" s="47">
        <f t="shared" si="10"/>
        <v>448525.67344444449</v>
      </c>
      <c r="W32" s="47">
        <f t="shared" si="10"/>
        <v>448525.67344444449</v>
      </c>
      <c r="X32" s="47">
        <f t="shared" si="10"/>
        <v>448525.67344444449</v>
      </c>
      <c r="Y32" s="47">
        <f t="shared" si="10"/>
        <v>448525.67344444449</v>
      </c>
      <c r="Z32" s="47">
        <f t="shared" si="10"/>
        <v>448525.67344444449</v>
      </c>
      <c r="AA32" s="47">
        <f t="shared" si="10"/>
        <v>448525.67344444449</v>
      </c>
      <c r="AB32" s="47">
        <f t="shared" si="10"/>
        <v>448525.67344444449</v>
      </c>
      <c r="AC32" s="47">
        <f t="shared" si="10"/>
        <v>448525.67344444449</v>
      </c>
      <c r="AD32" s="47">
        <f t="shared" si="10"/>
        <v>448525.67344444449</v>
      </c>
      <c r="AE32" s="47">
        <f t="shared" si="10"/>
        <v>448525.67344444449</v>
      </c>
      <c r="AF32" s="47">
        <f t="shared" si="10"/>
        <v>448525.67344444449</v>
      </c>
      <c r="AG32" s="47">
        <f t="shared" si="10"/>
        <v>448525.67344444449</v>
      </c>
      <c r="AH32" s="47">
        <f t="shared" si="10"/>
        <v>448525.67344444449</v>
      </c>
      <c r="AI32" s="31"/>
      <c r="AJ32" s="31"/>
      <c r="AK32" s="31"/>
      <c r="AL32" s="31"/>
      <c r="AM32" s="31"/>
    </row>
    <row r="33" spans="2:34" ht="18" customHeight="1">
      <c r="B33" s="158"/>
      <c r="C33" s="158"/>
      <c r="D33" s="158"/>
      <c r="E33" s="158"/>
      <c r="F33" s="158"/>
      <c r="G33" s="158"/>
    </row>
    <row r="34" spans="2:34" ht="18" customHeight="1"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</row>
    <row r="38" spans="2:34" ht="18" customHeight="1">
      <c r="K38" s="511"/>
    </row>
    <row r="39" spans="2:34" ht="18" customHeight="1">
      <c r="K39" s="511"/>
    </row>
    <row r="40" spans="2:34" ht="18" customHeight="1">
      <c r="K40" s="511"/>
    </row>
    <row r="41" spans="2:34" ht="18" customHeight="1">
      <c r="K41" s="511"/>
    </row>
  </sheetData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64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DE665-D832-974E-8539-19FA9B8C7AB8}">
  <sheetPr>
    <pageSetUpPr fitToPage="1"/>
  </sheetPr>
  <dimension ref="A2:M8"/>
  <sheetViews>
    <sheetView zoomScale="180" zoomScaleNormal="180" workbookViewId="0">
      <selection activeCell="D4" sqref="D4"/>
    </sheetView>
  </sheetViews>
  <sheetFormatPr defaultColWidth="9.140625" defaultRowHeight="15"/>
  <cols>
    <col min="1" max="1" width="11.7109375" style="267" customWidth="1"/>
    <col min="2" max="2" width="9.140625" style="267"/>
    <col min="3" max="3" width="12.42578125" style="267" bestFit="1" customWidth="1"/>
    <col min="4" max="4" width="29.7109375" style="267" bestFit="1" customWidth="1"/>
    <col min="5" max="5" width="9.140625" style="267"/>
    <col min="6" max="8" width="13" style="267" customWidth="1"/>
    <col min="9" max="9" width="10" style="267" bestFit="1" customWidth="1"/>
    <col min="10" max="13" width="13.85546875" style="267" customWidth="1"/>
    <col min="14" max="16384" width="9.140625" style="267"/>
  </cols>
  <sheetData>
    <row r="2" spans="1:13" ht="33">
      <c r="A2" s="338" t="s">
        <v>571</v>
      </c>
      <c r="B2" s="338" t="s">
        <v>283</v>
      </c>
      <c r="C2" s="338" t="s">
        <v>280</v>
      </c>
      <c r="D2" s="338" t="s">
        <v>281</v>
      </c>
      <c r="E2" s="338" t="s">
        <v>282</v>
      </c>
      <c r="F2" s="338" t="s">
        <v>286</v>
      </c>
      <c r="G2" s="338" t="s">
        <v>285</v>
      </c>
      <c r="H2" s="338" t="s">
        <v>287</v>
      </c>
      <c r="I2" s="338" t="s">
        <v>288</v>
      </c>
      <c r="J2" s="338" t="s">
        <v>284</v>
      </c>
      <c r="K2" s="338" t="s">
        <v>289</v>
      </c>
      <c r="L2" s="338" t="s">
        <v>290</v>
      </c>
      <c r="M2" s="338" t="s">
        <v>291</v>
      </c>
    </row>
    <row r="3" spans="1:13">
      <c r="A3" s="267" t="s">
        <v>581</v>
      </c>
      <c r="B3" s="330" t="s">
        <v>958</v>
      </c>
      <c r="C3" s="267" t="s">
        <v>580</v>
      </c>
      <c r="D3" s="267" t="s">
        <v>959</v>
      </c>
      <c r="E3" s="333">
        <v>1</v>
      </c>
      <c r="F3" s="337">
        <f>+G3+H3+I3</f>
        <v>126366.66666666667</v>
      </c>
      <c r="G3" s="337">
        <v>90000</v>
      </c>
      <c r="H3" s="337">
        <f>+G3*33%</f>
        <v>29700</v>
      </c>
      <c r="I3" s="337">
        <f>+G3/13.5</f>
        <v>6666.666666666667</v>
      </c>
      <c r="J3" s="339">
        <f>F3*$E3</f>
        <v>126366.66666666667</v>
      </c>
      <c r="K3" s="339">
        <f>G3*$E3</f>
        <v>90000</v>
      </c>
      <c r="L3" s="339">
        <f>H3*$E3</f>
        <v>29700</v>
      </c>
      <c r="M3" s="339">
        <f>I3*$E3</f>
        <v>6666.666666666667</v>
      </c>
    </row>
    <row r="4" spans="1:13">
      <c r="A4" s="267" t="s">
        <v>581</v>
      </c>
      <c r="B4" s="330" t="s">
        <v>575</v>
      </c>
      <c r="C4" s="267" t="s">
        <v>580</v>
      </c>
      <c r="D4" s="267" t="s">
        <v>578</v>
      </c>
      <c r="E4" s="333">
        <v>1</v>
      </c>
      <c r="F4" s="337">
        <f>+G4+H4+I4</f>
        <v>57786.802711111122</v>
      </c>
      <c r="G4" s="337">
        <f>+'CCNL acqua gas'!$I$7</f>
        <v>41156.520000000004</v>
      </c>
      <c r="H4" s="337">
        <f>+G4*33%</f>
        <v>13581.651600000003</v>
      </c>
      <c r="I4" s="337">
        <f>+G4/13.5</f>
        <v>3048.6311111111113</v>
      </c>
      <c r="J4" s="339">
        <f t="shared" ref="J4:M6" si="0">F4*$E4</f>
        <v>57786.802711111122</v>
      </c>
      <c r="K4" s="339">
        <f t="shared" si="0"/>
        <v>41156.520000000004</v>
      </c>
      <c r="L4" s="339">
        <f t="shared" si="0"/>
        <v>13581.651600000003</v>
      </c>
      <c r="M4" s="339">
        <f t="shared" si="0"/>
        <v>3048.6311111111113</v>
      </c>
    </row>
    <row r="5" spans="1:13">
      <c r="A5" s="267" t="s">
        <v>292</v>
      </c>
      <c r="B5" s="330" t="s">
        <v>575</v>
      </c>
      <c r="C5" s="267" t="s">
        <v>580</v>
      </c>
      <c r="D5" s="267" t="s">
        <v>579</v>
      </c>
      <c r="E5" s="334">
        <v>1</v>
      </c>
      <c r="F5" s="337">
        <f>(G5+H5+I5)</f>
        <v>28893.401355555561</v>
      </c>
      <c r="G5" s="337">
        <f>('CCNL acqua gas'!$I$7)/2</f>
        <v>20578.260000000002</v>
      </c>
      <c r="H5" s="337">
        <f>+G5*33%</f>
        <v>6790.8258000000014</v>
      </c>
      <c r="I5" s="337">
        <f>+G5/13.5</f>
        <v>1524.3155555555556</v>
      </c>
      <c r="J5" s="339">
        <f t="shared" si="0"/>
        <v>28893.401355555561</v>
      </c>
      <c r="K5" s="339">
        <f t="shared" si="0"/>
        <v>20578.260000000002</v>
      </c>
      <c r="L5" s="339">
        <f t="shared" si="0"/>
        <v>6790.8258000000014</v>
      </c>
      <c r="M5" s="339">
        <f t="shared" si="0"/>
        <v>1524.3155555555556</v>
      </c>
    </row>
    <row r="6" spans="1:13">
      <c r="A6" s="332" t="s">
        <v>581</v>
      </c>
      <c r="B6" s="482" t="s">
        <v>575</v>
      </c>
      <c r="C6" s="332" t="s">
        <v>580</v>
      </c>
      <c r="D6" s="332" t="s">
        <v>961</v>
      </c>
      <c r="E6" s="335">
        <v>1</v>
      </c>
      <c r="F6" s="483">
        <f>(G6+H6+I6)</f>
        <v>57786.802711111122</v>
      </c>
      <c r="G6" s="483">
        <f>('CCNL acqua gas'!$I$7)</f>
        <v>41156.520000000004</v>
      </c>
      <c r="H6" s="483">
        <f>+G6*33%</f>
        <v>13581.651600000003</v>
      </c>
      <c r="I6" s="483">
        <f>+G6/13.5</f>
        <v>3048.6311111111113</v>
      </c>
      <c r="J6" s="340">
        <f>F6*$E6</f>
        <v>57786.802711111122</v>
      </c>
      <c r="K6" s="340">
        <f t="shared" si="0"/>
        <v>41156.520000000004</v>
      </c>
      <c r="L6" s="340">
        <f t="shared" si="0"/>
        <v>13581.651600000003</v>
      </c>
      <c r="M6" s="340">
        <f t="shared" si="0"/>
        <v>3048.6311111111113</v>
      </c>
    </row>
    <row r="7" spans="1:13" ht="16.5">
      <c r="B7" s="330"/>
      <c r="C7" s="331" t="s">
        <v>75</v>
      </c>
      <c r="E7" s="336">
        <f>SUM(E3:E6)</f>
        <v>4</v>
      </c>
      <c r="H7" s="357">
        <f>+H4/G4</f>
        <v>0.33</v>
      </c>
      <c r="I7" s="357">
        <f>+I4/G4</f>
        <v>7.407407407407407E-2</v>
      </c>
      <c r="J7" s="339">
        <f>SUM(J3:J6)</f>
        <v>270833.67344444449</v>
      </c>
      <c r="K7" s="339">
        <f>SUM(K3:K6)</f>
        <v>192891.30000000005</v>
      </c>
      <c r="L7" s="339">
        <f>SUM(L3:L6)</f>
        <v>63654.129000000008</v>
      </c>
      <c r="M7" s="339">
        <f>SUM(M3:M6)</f>
        <v>14288.244444444445</v>
      </c>
    </row>
    <row r="8" spans="1:13">
      <c r="B8" s="330"/>
    </row>
  </sheetData>
  <phoneticPr fontId="18" type="noConversion"/>
  <pageMargins left="0.75" right="0.75" top="1" bottom="1" header="0.5" footer="0.5"/>
  <pageSetup paperSize="9" scale="75" orientation="landscape" horizontalDpi="0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BB323-8E15-694B-BBBD-7F8232959714}">
  <dimension ref="D3:S32"/>
  <sheetViews>
    <sheetView showGridLines="0" zoomScale="130" zoomScaleNormal="130" workbookViewId="0">
      <selection activeCell="M7" sqref="M7"/>
    </sheetView>
  </sheetViews>
  <sheetFormatPr defaultColWidth="8.85546875" defaultRowHeight="12.75"/>
  <cols>
    <col min="1" max="8" width="8.85546875" customWidth="1"/>
    <col min="9" max="10" width="9.140625" bestFit="1" customWidth="1"/>
    <col min="11" max="11" width="8.85546875" customWidth="1"/>
    <col min="12" max="14" width="9.140625" bestFit="1" customWidth="1"/>
    <col min="15" max="15" width="8.85546875" customWidth="1"/>
    <col min="16" max="16" width="9.140625" bestFit="1" customWidth="1"/>
  </cols>
  <sheetData>
    <row r="3" spans="4:19" ht="13.5" thickBot="1"/>
    <row r="4" spans="4:19" ht="13.5" thickBot="1">
      <c r="D4" s="524" t="s">
        <v>935</v>
      </c>
      <c r="E4" s="525"/>
      <c r="F4" s="525"/>
      <c r="G4" s="525"/>
      <c r="H4" s="525"/>
      <c r="I4" s="525"/>
      <c r="J4" s="525"/>
      <c r="K4" s="525"/>
      <c r="L4" s="525"/>
      <c r="M4" s="525"/>
      <c r="N4" s="525"/>
      <c r="O4" s="525"/>
      <c r="P4" s="526"/>
    </row>
    <row r="5" spans="4:19" ht="13.5" thickBot="1"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484"/>
      <c r="O5" s="484"/>
      <c r="P5" s="484"/>
    </row>
    <row r="6" spans="4:19" ht="39" thickBot="1">
      <c r="D6" s="476" t="s">
        <v>283</v>
      </c>
      <c r="E6" s="476" t="s">
        <v>572</v>
      </c>
      <c r="F6" s="476" t="s">
        <v>573</v>
      </c>
      <c r="G6" s="476" t="s">
        <v>574</v>
      </c>
      <c r="H6" s="477" t="s">
        <v>75</v>
      </c>
      <c r="I6" s="477" t="s">
        <v>583</v>
      </c>
      <c r="J6" s="477" t="s">
        <v>576</v>
      </c>
      <c r="K6" s="477" t="s">
        <v>577</v>
      </c>
      <c r="L6" s="477" t="s">
        <v>584</v>
      </c>
      <c r="M6" s="477" t="s">
        <v>585</v>
      </c>
      <c r="N6" s="478" t="s">
        <v>287</v>
      </c>
      <c r="O6" s="478" t="s">
        <v>288</v>
      </c>
      <c r="P6" s="478" t="s">
        <v>284</v>
      </c>
    </row>
    <row r="7" spans="4:19">
      <c r="D7" s="479" t="s">
        <v>575</v>
      </c>
      <c r="E7" s="480">
        <v>3367.73</v>
      </c>
      <c r="F7" s="481">
        <v>10.33</v>
      </c>
      <c r="G7" s="481">
        <v>51.65</v>
      </c>
      <c r="H7" s="480">
        <v>3429.71</v>
      </c>
      <c r="I7" s="485">
        <f t="shared" ref="I7:I15" si="0">H7*12</f>
        <v>41156.520000000004</v>
      </c>
      <c r="J7" s="485">
        <f t="shared" ref="J7:J15" si="1">+E7</f>
        <v>3367.73</v>
      </c>
      <c r="K7" s="485">
        <f t="shared" ref="K7:K15" si="2">+E7</f>
        <v>3367.73</v>
      </c>
      <c r="L7" s="485">
        <f>+I7+J7</f>
        <v>44524.250000000007</v>
      </c>
      <c r="M7" s="485">
        <f>+L7+K7</f>
        <v>47891.98000000001</v>
      </c>
      <c r="N7" s="485">
        <f>+M7*33%</f>
        <v>15804.353400000004</v>
      </c>
      <c r="O7" s="485">
        <f>+M7/13.5</f>
        <v>3547.5540740740748</v>
      </c>
      <c r="P7" s="485">
        <f>+M7+N7+O7</f>
        <v>67243.887474074087</v>
      </c>
      <c r="Q7" s="355"/>
      <c r="R7">
        <f>+N7/P7</f>
        <v>0.23503033500395676</v>
      </c>
      <c r="S7">
        <f>+N7/(M7+O7)</f>
        <v>0.30724137931034484</v>
      </c>
    </row>
    <row r="8" spans="4:19">
      <c r="D8" s="486">
        <v>8</v>
      </c>
      <c r="E8" s="487">
        <v>3041.31</v>
      </c>
      <c r="F8" s="488">
        <v>10.33</v>
      </c>
      <c r="G8" s="488"/>
      <c r="H8" s="487">
        <v>3051.64</v>
      </c>
      <c r="I8" s="489">
        <f t="shared" si="0"/>
        <v>36619.68</v>
      </c>
      <c r="J8" s="489">
        <f t="shared" si="1"/>
        <v>3041.31</v>
      </c>
      <c r="K8" s="489">
        <f t="shared" si="2"/>
        <v>3041.31</v>
      </c>
      <c r="L8" s="489">
        <f t="shared" ref="L8:L15" si="3">I8+H8</f>
        <v>39671.32</v>
      </c>
      <c r="M8" s="489">
        <f t="shared" ref="M8:M15" si="4">+L8+K8</f>
        <v>42712.63</v>
      </c>
      <c r="N8" s="489">
        <f t="shared" ref="N8:N15" si="5">+M8*33%</f>
        <v>14095.1679</v>
      </c>
      <c r="O8" s="489">
        <f t="shared" ref="O8:O15" si="6">+M8/13.5</f>
        <v>3163.8985185185184</v>
      </c>
      <c r="P8" s="489">
        <f t="shared" ref="P8:P15" si="7">+M8+N8+O8</f>
        <v>59971.696418518513</v>
      </c>
    </row>
    <row r="9" spans="4:19">
      <c r="D9" s="479">
        <v>7</v>
      </c>
      <c r="E9" s="480">
        <v>2809.99</v>
      </c>
      <c r="F9" s="481">
        <v>10.33</v>
      </c>
      <c r="G9" s="481"/>
      <c r="H9" s="480">
        <v>2820.32</v>
      </c>
      <c r="I9" s="485">
        <f t="shared" si="0"/>
        <v>33843.840000000004</v>
      </c>
      <c r="J9" s="485">
        <f t="shared" si="1"/>
        <v>2809.99</v>
      </c>
      <c r="K9" s="485">
        <f t="shared" si="2"/>
        <v>2809.99</v>
      </c>
      <c r="L9" s="485">
        <f t="shared" si="3"/>
        <v>36664.160000000003</v>
      </c>
      <c r="M9" s="485">
        <f t="shared" si="4"/>
        <v>39474.15</v>
      </c>
      <c r="N9" s="485">
        <f t="shared" si="5"/>
        <v>13026.469500000001</v>
      </c>
      <c r="O9" s="485">
        <f t="shared" si="6"/>
        <v>2924.0111111111114</v>
      </c>
      <c r="P9" s="485">
        <f t="shared" si="7"/>
        <v>55424.630611111112</v>
      </c>
    </row>
    <row r="10" spans="4:19">
      <c r="D10" s="486">
        <v>6</v>
      </c>
      <c r="E10" s="487">
        <v>2578.39</v>
      </c>
      <c r="F10" s="488">
        <v>10.33</v>
      </c>
      <c r="G10" s="488"/>
      <c r="H10" s="487">
        <v>2588.7199999999998</v>
      </c>
      <c r="I10" s="489">
        <f t="shared" si="0"/>
        <v>31064.639999999999</v>
      </c>
      <c r="J10" s="489">
        <f t="shared" si="1"/>
        <v>2578.39</v>
      </c>
      <c r="K10" s="489">
        <f t="shared" si="2"/>
        <v>2578.39</v>
      </c>
      <c r="L10" s="489">
        <f t="shared" si="3"/>
        <v>33653.360000000001</v>
      </c>
      <c r="M10" s="489">
        <f t="shared" si="4"/>
        <v>36231.75</v>
      </c>
      <c r="N10" s="489">
        <f t="shared" si="5"/>
        <v>11956.477500000001</v>
      </c>
      <c r="O10" s="489">
        <f t="shared" si="6"/>
        <v>2683.8333333333335</v>
      </c>
      <c r="P10" s="489">
        <f t="shared" si="7"/>
        <v>50872.060833333337</v>
      </c>
    </row>
    <row r="11" spans="4:19">
      <c r="D11" s="479">
        <v>5</v>
      </c>
      <c r="E11" s="480">
        <v>2347.94</v>
      </c>
      <c r="F11" s="481">
        <v>10.33</v>
      </c>
      <c r="G11" s="481"/>
      <c r="H11" s="480">
        <v>2358.27</v>
      </c>
      <c r="I11" s="485">
        <f t="shared" si="0"/>
        <v>28299.239999999998</v>
      </c>
      <c r="J11" s="485">
        <f t="shared" si="1"/>
        <v>2347.94</v>
      </c>
      <c r="K11" s="485">
        <f t="shared" si="2"/>
        <v>2347.94</v>
      </c>
      <c r="L11" s="485">
        <f t="shared" si="3"/>
        <v>30657.51</v>
      </c>
      <c r="M11" s="485">
        <f t="shared" si="4"/>
        <v>33005.449999999997</v>
      </c>
      <c r="N11" s="485">
        <f t="shared" si="5"/>
        <v>10891.798499999999</v>
      </c>
      <c r="O11" s="485">
        <f t="shared" si="6"/>
        <v>2444.8481481481481</v>
      </c>
      <c r="P11" s="485">
        <f t="shared" si="7"/>
        <v>46342.096648148145</v>
      </c>
    </row>
    <row r="12" spans="4:19">
      <c r="D12" s="486">
        <v>4</v>
      </c>
      <c r="E12" s="487">
        <v>2204.6799999999998</v>
      </c>
      <c r="F12" s="488">
        <v>10.33</v>
      </c>
      <c r="G12" s="488"/>
      <c r="H12" s="487">
        <v>2215.0100000000002</v>
      </c>
      <c r="I12" s="489">
        <f t="shared" si="0"/>
        <v>26580.120000000003</v>
      </c>
      <c r="J12" s="489">
        <f t="shared" si="1"/>
        <v>2204.6799999999998</v>
      </c>
      <c r="K12" s="489">
        <f t="shared" si="2"/>
        <v>2204.6799999999998</v>
      </c>
      <c r="L12" s="489">
        <f t="shared" si="3"/>
        <v>28795.130000000005</v>
      </c>
      <c r="M12" s="489">
        <f t="shared" si="4"/>
        <v>30999.810000000005</v>
      </c>
      <c r="N12" s="489">
        <f t="shared" si="5"/>
        <v>10229.937300000001</v>
      </c>
      <c r="O12" s="489">
        <f t="shared" si="6"/>
        <v>2296.2822222222226</v>
      </c>
      <c r="P12" s="489">
        <f t="shared" si="7"/>
        <v>43526.029522222227</v>
      </c>
    </row>
    <row r="13" spans="4:19">
      <c r="D13" s="479">
        <v>3</v>
      </c>
      <c r="E13" s="480">
        <v>2062.61</v>
      </c>
      <c r="F13" s="481">
        <v>10.33</v>
      </c>
      <c r="G13" s="481"/>
      <c r="H13" s="480">
        <v>2072.94</v>
      </c>
      <c r="I13" s="485">
        <f t="shared" si="0"/>
        <v>24875.279999999999</v>
      </c>
      <c r="J13" s="485">
        <f t="shared" si="1"/>
        <v>2062.61</v>
      </c>
      <c r="K13" s="485">
        <f t="shared" si="2"/>
        <v>2062.61</v>
      </c>
      <c r="L13" s="485">
        <f t="shared" si="3"/>
        <v>26948.219999999998</v>
      </c>
      <c r="M13" s="485">
        <f t="shared" si="4"/>
        <v>29010.829999999998</v>
      </c>
      <c r="N13" s="485">
        <f t="shared" si="5"/>
        <v>9573.5738999999994</v>
      </c>
      <c r="O13" s="485">
        <f t="shared" si="6"/>
        <v>2148.9503703703704</v>
      </c>
      <c r="P13" s="485">
        <f t="shared" si="7"/>
        <v>40733.354270370372</v>
      </c>
    </row>
    <row r="14" spans="4:19">
      <c r="D14" s="486">
        <v>2</v>
      </c>
      <c r="E14" s="487">
        <v>1864.61</v>
      </c>
      <c r="F14" s="488">
        <v>10.33</v>
      </c>
      <c r="G14" s="488"/>
      <c r="H14" s="487">
        <v>1874.94</v>
      </c>
      <c r="I14" s="489">
        <f t="shared" si="0"/>
        <v>22499.279999999999</v>
      </c>
      <c r="J14" s="489">
        <f t="shared" si="1"/>
        <v>1864.61</v>
      </c>
      <c r="K14" s="489">
        <f t="shared" si="2"/>
        <v>1864.61</v>
      </c>
      <c r="L14" s="489">
        <f t="shared" si="3"/>
        <v>24374.219999999998</v>
      </c>
      <c r="M14" s="489">
        <f t="shared" si="4"/>
        <v>26238.829999999998</v>
      </c>
      <c r="N14" s="489">
        <f t="shared" si="5"/>
        <v>8658.8138999999992</v>
      </c>
      <c r="O14" s="489">
        <f t="shared" si="6"/>
        <v>1943.6170370370369</v>
      </c>
      <c r="P14" s="489">
        <f t="shared" si="7"/>
        <v>36841.260937037034</v>
      </c>
    </row>
    <row r="15" spans="4:19">
      <c r="D15" s="479">
        <v>1</v>
      </c>
      <c r="E15" s="480">
        <v>1677.64</v>
      </c>
      <c r="F15" s="481">
        <v>10.33</v>
      </c>
      <c r="G15" s="481"/>
      <c r="H15" s="480">
        <v>1687.97</v>
      </c>
      <c r="I15" s="485">
        <f t="shared" si="0"/>
        <v>20255.64</v>
      </c>
      <c r="J15" s="485">
        <f t="shared" si="1"/>
        <v>1677.64</v>
      </c>
      <c r="K15" s="485">
        <f t="shared" si="2"/>
        <v>1677.64</v>
      </c>
      <c r="L15" s="485">
        <f t="shared" si="3"/>
        <v>21943.61</v>
      </c>
      <c r="M15" s="485">
        <f t="shared" si="4"/>
        <v>23621.25</v>
      </c>
      <c r="N15" s="485">
        <f t="shared" si="5"/>
        <v>7795.0125000000007</v>
      </c>
      <c r="O15" s="485">
        <f t="shared" si="6"/>
        <v>1749.7222222222222</v>
      </c>
      <c r="P15" s="485">
        <f t="shared" si="7"/>
        <v>33165.984722222223</v>
      </c>
    </row>
    <row r="21" spans="9:16" ht="23.25" thickBot="1">
      <c r="I21" s="362" t="s">
        <v>602</v>
      </c>
    </row>
    <row r="22" spans="9:16" ht="13.5" thickBot="1">
      <c r="I22" s="354" t="s">
        <v>283</v>
      </c>
      <c r="J22" s="354" t="s">
        <v>572</v>
      </c>
      <c r="K22" s="363"/>
    </row>
    <row r="23" spans="9:16" ht="45">
      <c r="I23" s="364" t="s">
        <v>603</v>
      </c>
      <c r="J23" s="365">
        <v>1934.36</v>
      </c>
      <c r="K23">
        <v>193.9</v>
      </c>
      <c r="L23" s="355">
        <f>+J23+K23</f>
        <v>2128.2599999999998</v>
      </c>
      <c r="M23">
        <f>+L23*13</f>
        <v>27667.379999999997</v>
      </c>
      <c r="N23" s="355">
        <f>+M23*33%</f>
        <v>9130.2353999999996</v>
      </c>
      <c r="O23" s="355">
        <f>+M23/13.5</f>
        <v>2049.4355555555553</v>
      </c>
      <c r="P23" s="355">
        <f>+M23+N23+O23</f>
        <v>38847.050955555547</v>
      </c>
    </row>
    <row r="26" spans="9:16" ht="120">
      <c r="I26" s="366" t="s">
        <v>604</v>
      </c>
    </row>
    <row r="27" spans="9:16" ht="15">
      <c r="I27" s="367"/>
    </row>
    <row r="28" spans="9:16" ht="15">
      <c r="I28" s="367"/>
    </row>
    <row r="29" spans="9:16" ht="40.5">
      <c r="I29" s="368" t="s">
        <v>605</v>
      </c>
      <c r="J29" s="369">
        <v>34634.49</v>
      </c>
      <c r="M29">
        <f>+J29/12*13</f>
        <v>37520.697500000002</v>
      </c>
      <c r="N29" s="355">
        <f>+M29*33%</f>
        <v>12381.830175000001</v>
      </c>
      <c r="O29" s="355">
        <f>+M29/13.5</f>
        <v>2779.3109259259259</v>
      </c>
      <c r="P29" s="355">
        <f>+M29+N29+O29</f>
        <v>52681.838600925934</v>
      </c>
    </row>
    <row r="30" spans="9:16" ht="27">
      <c r="I30" s="368" t="s">
        <v>606</v>
      </c>
      <c r="J30" s="369">
        <v>25363.13</v>
      </c>
    </row>
    <row r="31" spans="9:16" ht="27">
      <c r="I31" s="368" t="s">
        <v>607</v>
      </c>
      <c r="J31" s="369">
        <v>20884.37</v>
      </c>
    </row>
    <row r="32" spans="9:16" ht="27">
      <c r="I32" s="368" t="s">
        <v>608</v>
      </c>
      <c r="J32" s="370" t="s">
        <v>609</v>
      </c>
    </row>
  </sheetData>
  <mergeCells count="1">
    <mergeCell ref="D4:P4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35E15-6B27-8742-8688-9E36C34AFA04}">
  <dimension ref="A2:U276"/>
  <sheetViews>
    <sheetView tabSelected="1" topLeftCell="C1" zoomScale="120" zoomScaleNormal="120" workbookViewId="0">
      <selection activeCell="D15" sqref="D15"/>
    </sheetView>
  </sheetViews>
  <sheetFormatPr defaultColWidth="8.85546875" defaultRowHeight="12.75"/>
  <cols>
    <col min="1" max="2" width="8.85546875" customWidth="1"/>
    <col min="3" max="3" width="47.140625" bestFit="1" customWidth="1"/>
    <col min="4" max="4" width="16.42578125" customWidth="1"/>
    <col min="5" max="5" width="8.85546875" customWidth="1"/>
    <col min="6" max="6" width="14.7109375" bestFit="1" customWidth="1"/>
    <col min="7" max="7" width="18.85546875" bestFit="1" customWidth="1"/>
    <col min="8" max="8" width="8.85546875" customWidth="1"/>
    <col min="9" max="9" width="14.28515625" bestFit="1" customWidth="1"/>
    <col min="10" max="10" width="14.140625" bestFit="1" customWidth="1"/>
    <col min="11" max="12" width="12" bestFit="1" customWidth="1"/>
    <col min="13" max="13" width="8.28515625" bestFit="1" customWidth="1"/>
    <col min="14" max="14" width="12" bestFit="1" customWidth="1"/>
    <col min="15" max="15" width="15.140625" customWidth="1"/>
    <col min="16" max="16" width="19.28515625" bestFit="1" customWidth="1"/>
    <col min="17" max="17" width="14.42578125" bestFit="1" customWidth="1"/>
    <col min="21" max="21" width="18.7109375" customWidth="1"/>
  </cols>
  <sheetData>
    <row r="2" spans="3:17">
      <c r="C2" t="s">
        <v>600</v>
      </c>
      <c r="D2" s="350">
        <v>41385573.600000001</v>
      </c>
    </row>
    <row r="4" spans="3:17">
      <c r="C4" s="356" t="s">
        <v>620</v>
      </c>
      <c r="D4" s="343">
        <v>0.2</v>
      </c>
    </row>
    <row r="5" spans="3:17">
      <c r="C5" s="356"/>
      <c r="D5" s="343"/>
    </row>
    <row r="6" spans="3:17">
      <c r="C6" s="356" t="s">
        <v>621</v>
      </c>
      <c r="D6" s="350">
        <f>+D2*D4</f>
        <v>8277114.7200000007</v>
      </c>
    </row>
    <row r="7" spans="3:17">
      <c r="C7" s="356"/>
      <c r="D7" s="343"/>
    </row>
    <row r="8" spans="3:17">
      <c r="D8" s="350">
        <f>+D10/E10*E8</f>
        <v>1600000</v>
      </c>
      <c r="E8" s="343">
        <v>0.8</v>
      </c>
      <c r="I8" t="s">
        <v>601</v>
      </c>
    </row>
    <row r="10" spans="3:17">
      <c r="C10" t="s">
        <v>568</v>
      </c>
      <c r="D10" s="350">
        <v>400000</v>
      </c>
      <c r="E10" s="343">
        <v>0.2</v>
      </c>
      <c r="F10">
        <f>+D10*E10</f>
        <v>80000</v>
      </c>
    </row>
    <row r="11" spans="3:17">
      <c r="P11" s="409">
        <f>+$O$14/(Ricavi!$B$9+Ricavi!$C$9)*Ricavi!$B$9</f>
        <v>3874166</v>
      </c>
      <c r="Q11" s="409">
        <f>+$O$14/(Ricavi!$B$9+Ricavi!$C$9)*Ricavi!$C$9</f>
        <v>0</v>
      </c>
    </row>
    <row r="12" spans="3:17">
      <c r="C12" t="s">
        <v>599</v>
      </c>
      <c r="D12" s="350">
        <f>+D2/D14</f>
        <v>25.799951748493701</v>
      </c>
    </row>
    <row r="14" spans="3:17">
      <c r="C14" s="360" t="s">
        <v>598</v>
      </c>
      <c r="D14" s="361">
        <f>+SUM(D19:D275)</f>
        <v>1604095</v>
      </c>
      <c r="E14" s="520">
        <f>+SUM(E19:E275)</f>
        <v>20.000999999999983</v>
      </c>
      <c r="F14" s="361"/>
      <c r="G14" s="383">
        <f t="shared" ref="G14:Q14" si="0">+SUM(G19:G275)</f>
        <v>8277114.7200000137</v>
      </c>
      <c r="H14" s="386">
        <f t="shared" si="0"/>
        <v>0.99999999999999989</v>
      </c>
      <c r="I14" s="387">
        <f t="shared" si="0"/>
        <v>399999.99999999959</v>
      </c>
      <c r="J14" s="387">
        <f t="shared" si="0"/>
        <v>99999.999999999898</v>
      </c>
      <c r="K14" s="387">
        <f t="shared" si="0"/>
        <v>300000.00000000029</v>
      </c>
      <c r="L14" s="361">
        <f t="shared" si="0"/>
        <v>80004</v>
      </c>
      <c r="M14" s="361">
        <f t="shared" si="0"/>
        <v>0</v>
      </c>
      <c r="N14" s="387">
        <f t="shared" si="0"/>
        <v>50000</v>
      </c>
      <c r="O14" s="397">
        <f t="shared" si="0"/>
        <v>3874166</v>
      </c>
      <c r="P14" s="397">
        <f t="shared" si="0"/>
        <v>1411164</v>
      </c>
      <c r="Q14" s="397">
        <f t="shared" si="0"/>
        <v>174532</v>
      </c>
    </row>
    <row r="15" spans="3:17">
      <c r="D15" s="321"/>
    </row>
    <row r="17" spans="1:21">
      <c r="A17" s="521" t="s">
        <v>361</v>
      </c>
      <c r="B17" s="522"/>
      <c r="C17" s="522"/>
      <c r="D17" s="522"/>
      <c r="E17" s="523"/>
    </row>
    <row r="18" spans="1:21" ht="102">
      <c r="A18" s="373" t="s">
        <v>301</v>
      </c>
      <c r="B18" s="373" t="s">
        <v>302</v>
      </c>
      <c r="C18" s="373" t="s">
        <v>303</v>
      </c>
      <c r="D18" s="373" t="s">
        <v>304</v>
      </c>
      <c r="E18" s="373" t="s">
        <v>305</v>
      </c>
      <c r="F18" s="377" t="s">
        <v>612</v>
      </c>
      <c r="G18" s="377" t="s">
        <v>613</v>
      </c>
      <c r="H18" s="377" t="s">
        <v>614</v>
      </c>
      <c r="I18" s="377" t="s">
        <v>615</v>
      </c>
      <c r="J18" s="377" t="s">
        <v>616</v>
      </c>
      <c r="K18" s="377" t="s">
        <v>617</v>
      </c>
      <c r="L18" s="351" t="s">
        <v>569</v>
      </c>
      <c r="M18" s="351" t="s">
        <v>570</v>
      </c>
      <c r="N18" s="377" t="s">
        <v>622</v>
      </c>
      <c r="O18" s="377" t="s">
        <v>639</v>
      </c>
      <c r="P18" s="377" t="s">
        <v>906</v>
      </c>
      <c r="Q18" s="377" t="s">
        <v>907</v>
      </c>
    </row>
    <row r="19" spans="1:21">
      <c r="A19" s="348">
        <v>1</v>
      </c>
      <c r="B19" s="348" t="s">
        <v>306</v>
      </c>
      <c r="C19" s="348" t="s">
        <v>640</v>
      </c>
      <c r="D19" s="349">
        <v>73025</v>
      </c>
      <c r="E19" s="376">
        <v>0.91</v>
      </c>
      <c r="F19" s="381"/>
      <c r="G19" s="350">
        <f>+$D$6*E19/$E$14</f>
        <v>376589.89026548708</v>
      </c>
      <c r="H19" s="384">
        <f>+G19/$G$14</f>
        <v>4.5497725113744281E-2</v>
      </c>
      <c r="I19" s="350">
        <f>+$D$10/$D$14*D19</f>
        <v>18209.644690619945</v>
      </c>
      <c r="J19" s="350">
        <f>+I19*25%</f>
        <v>4552.4111726549863</v>
      </c>
      <c r="K19" s="350">
        <f>+I19-J19</f>
        <v>13657.23351796496</v>
      </c>
      <c r="L19" s="350">
        <f>+$D$10*$E19/100</f>
        <v>3640</v>
      </c>
      <c r="N19" s="350"/>
      <c r="O19" s="398">
        <f>+VLOOKUP(C19,Pop_ISTAT!$A$10:$J$273,10,FALSE)</f>
        <v>315473</v>
      </c>
      <c r="P19" s="399">
        <f>+O19</f>
        <v>315473</v>
      </c>
      <c r="U19" s="519">
        <f>(D6*E19)/20.001</f>
        <v>376589.89026548679</v>
      </c>
    </row>
    <row r="20" spans="1:21">
      <c r="A20" s="348">
        <v>2</v>
      </c>
      <c r="B20" s="348" t="s">
        <v>307</v>
      </c>
      <c r="C20" s="348" t="s">
        <v>308</v>
      </c>
      <c r="D20" s="349">
        <v>58781</v>
      </c>
      <c r="E20" s="348">
        <v>0.73299999999999998</v>
      </c>
      <c r="F20" s="381"/>
      <c r="G20" s="350">
        <f>+$D$6*E20/$E$14</f>
        <v>303341.08743362862</v>
      </c>
      <c r="H20" s="384">
        <f t="shared" ref="H20:H83" si="1">+G20/$G$14</f>
        <v>3.6648167591620394E-2</v>
      </c>
      <c r="I20" s="350">
        <f t="shared" ref="I20:I83" si="2">+$D$10/$D$14*D20</f>
        <v>14657.735358566668</v>
      </c>
      <c r="J20" s="350">
        <f t="shared" ref="J20:J83" si="3">+I20*25%</f>
        <v>3664.433839641667</v>
      </c>
      <c r="K20" s="350">
        <f t="shared" ref="K20:K83" si="4">+I20-J20</f>
        <v>10993.301518925</v>
      </c>
      <c r="L20" s="350">
        <f t="shared" ref="L20:L83" si="5">+$D$10*$E20/100</f>
        <v>2932</v>
      </c>
      <c r="N20" s="350"/>
      <c r="O20" s="398">
        <f>+VLOOKUP(C20,Pop_ISTAT!$A$10:$J$273,10,FALSE)</f>
        <v>185909</v>
      </c>
      <c r="P20" s="408">
        <f>+O20</f>
        <v>185909</v>
      </c>
    </row>
    <row r="21" spans="1:21">
      <c r="A21" s="348">
        <v>3</v>
      </c>
      <c r="B21" s="348" t="s">
        <v>309</v>
      </c>
      <c r="C21" s="348" t="s">
        <v>310</v>
      </c>
      <c r="D21" s="349">
        <v>39522</v>
      </c>
      <c r="E21" s="348">
        <v>0.49299999999999999</v>
      </c>
      <c r="F21" s="381"/>
      <c r="G21" s="350">
        <f t="shared" ref="G21:G84" si="6">+$D$6*E21/$E$14</f>
        <v>204020.67681415947</v>
      </c>
      <c r="H21" s="384">
        <f t="shared" si="1"/>
        <v>2.46487675616219E-2</v>
      </c>
      <c r="I21" s="350">
        <f t="shared" si="2"/>
        <v>9855.2766513205261</v>
      </c>
      <c r="J21" s="350">
        <f t="shared" si="3"/>
        <v>2463.8191628301315</v>
      </c>
      <c r="K21" s="350">
        <f t="shared" si="4"/>
        <v>7391.4574884903941</v>
      </c>
      <c r="L21" s="350">
        <f t="shared" si="5"/>
        <v>1972</v>
      </c>
      <c r="N21" s="350"/>
      <c r="O21" s="398">
        <f>+VLOOKUP(C21,Pop_ISTAT!$A$10:$J$273,10,FALSE)</f>
        <v>145447</v>
      </c>
      <c r="P21" s="408">
        <f t="shared" ref="P21:P34" si="7">+O21</f>
        <v>145447</v>
      </c>
    </row>
    <row r="22" spans="1:21">
      <c r="A22" s="348">
        <v>4</v>
      </c>
      <c r="B22" s="348" t="s">
        <v>311</v>
      </c>
      <c r="C22" s="348" t="s">
        <v>312</v>
      </c>
      <c r="D22" s="349">
        <v>34230</v>
      </c>
      <c r="E22" s="348">
        <v>0.42699999999999999</v>
      </c>
      <c r="F22" s="381"/>
      <c r="G22" s="350">
        <f t="shared" si="6"/>
        <v>176707.56389380549</v>
      </c>
      <c r="H22" s="384">
        <f t="shared" si="1"/>
        <v>2.1348932553372318E-2</v>
      </c>
      <c r="I22" s="350">
        <f t="shared" si="2"/>
        <v>8535.6540603891917</v>
      </c>
      <c r="J22" s="350">
        <f t="shared" si="3"/>
        <v>2133.9135150972979</v>
      </c>
      <c r="K22" s="350">
        <f t="shared" si="4"/>
        <v>6401.7405452918938</v>
      </c>
      <c r="L22" s="350">
        <f t="shared" si="5"/>
        <v>1708</v>
      </c>
      <c r="N22" s="350"/>
      <c r="O22" s="398">
        <f>+VLOOKUP(C22,Pop_ISTAT!$A$10:$J$273,10,FALSE)</f>
        <v>94253</v>
      </c>
      <c r="P22" s="408">
        <f t="shared" si="7"/>
        <v>94253</v>
      </c>
    </row>
    <row r="23" spans="1:21">
      <c r="A23" s="348">
        <v>5</v>
      </c>
      <c r="B23" s="348" t="s">
        <v>313</v>
      </c>
      <c r="C23" s="348" t="s">
        <v>314</v>
      </c>
      <c r="D23" s="349">
        <v>29829</v>
      </c>
      <c r="E23" s="348">
        <v>0.372</v>
      </c>
      <c r="F23" s="381"/>
      <c r="G23" s="350">
        <f t="shared" si="6"/>
        <v>153946.63646017713</v>
      </c>
      <c r="H23" s="384">
        <f t="shared" si="1"/>
        <v>1.8599070046497662E-2</v>
      </c>
      <c r="I23" s="350">
        <f t="shared" si="2"/>
        <v>7438.2128240534385</v>
      </c>
      <c r="J23" s="350">
        <f t="shared" si="3"/>
        <v>1859.5532060133596</v>
      </c>
      <c r="K23" s="350">
        <f t="shared" si="4"/>
        <v>5578.6596180400793</v>
      </c>
      <c r="L23" s="350">
        <f t="shared" si="5"/>
        <v>1488</v>
      </c>
      <c r="N23" s="350"/>
      <c r="O23" s="398">
        <f>+VLOOKUP(C23,Pop_ISTAT!$A$10:$J$273,10,FALSE)</f>
        <v>92010</v>
      </c>
      <c r="P23" s="408">
        <f t="shared" si="7"/>
        <v>92010</v>
      </c>
    </row>
    <row r="24" spans="1:21">
      <c r="A24" s="348">
        <v>6</v>
      </c>
      <c r="B24" s="348" t="s">
        <v>315</v>
      </c>
      <c r="C24" s="348" t="s">
        <v>316</v>
      </c>
      <c r="D24" s="349">
        <v>26917</v>
      </c>
      <c r="E24" s="348">
        <v>0.33600000000000002</v>
      </c>
      <c r="F24" s="381"/>
      <c r="G24" s="350">
        <f t="shared" si="6"/>
        <v>139048.57486725677</v>
      </c>
      <c r="H24" s="384">
        <f t="shared" si="1"/>
        <v>1.6799160041997888E-2</v>
      </c>
      <c r="I24" s="350">
        <f t="shared" si="2"/>
        <v>6712.0712925356665</v>
      </c>
      <c r="J24" s="350">
        <f t="shared" si="3"/>
        <v>1678.0178231339166</v>
      </c>
      <c r="K24" s="350">
        <f t="shared" si="4"/>
        <v>5034.0534694017497</v>
      </c>
      <c r="L24" s="350">
        <f t="shared" si="5"/>
        <v>1344</v>
      </c>
      <c r="N24" s="350"/>
      <c r="O24" s="398">
        <f>+VLOOKUP(C24,Pop_ISTAT!$A$10:$J$273,10,FALSE)</f>
        <v>38813</v>
      </c>
      <c r="P24" s="408">
        <f t="shared" si="7"/>
        <v>38813</v>
      </c>
    </row>
    <row r="25" spans="1:21">
      <c r="A25" s="348">
        <v>7</v>
      </c>
      <c r="B25" s="348" t="s">
        <v>315</v>
      </c>
      <c r="C25" s="348" t="s">
        <v>317</v>
      </c>
      <c r="D25" s="349">
        <v>25947</v>
      </c>
      <c r="E25" s="348">
        <v>0.32400000000000001</v>
      </c>
      <c r="F25" s="381"/>
      <c r="G25" s="350">
        <f t="shared" si="6"/>
        <v>134082.55433628333</v>
      </c>
      <c r="H25" s="384">
        <f t="shared" si="1"/>
        <v>1.6199190040497965E-2</v>
      </c>
      <c r="I25" s="350">
        <f t="shared" si="2"/>
        <v>6470.1903565561888</v>
      </c>
      <c r="J25" s="350">
        <f t="shared" si="3"/>
        <v>1617.5475891390472</v>
      </c>
      <c r="K25" s="350">
        <f t="shared" si="4"/>
        <v>4852.6427674171418</v>
      </c>
      <c r="L25" s="350">
        <f t="shared" si="5"/>
        <v>1296</v>
      </c>
      <c r="N25" s="350"/>
      <c r="O25" s="398">
        <f>+VLOOKUP(C25,Pop_ISTAT!$A$10:$J$273,10,FALSE)</f>
        <v>81664</v>
      </c>
      <c r="P25" s="408">
        <f t="shared" si="7"/>
        <v>81664</v>
      </c>
    </row>
    <row r="26" spans="1:21">
      <c r="A26" s="348">
        <v>8</v>
      </c>
      <c r="B26" s="348" t="s">
        <v>309</v>
      </c>
      <c r="C26" s="348" t="s">
        <v>318</v>
      </c>
      <c r="D26" s="349">
        <v>23480</v>
      </c>
      <c r="E26" s="348">
        <v>0.29299999999999998</v>
      </c>
      <c r="F26" s="381"/>
      <c r="G26" s="350">
        <f t="shared" si="6"/>
        <v>121253.66796460187</v>
      </c>
      <c r="H26" s="384">
        <f t="shared" si="1"/>
        <v>1.4649267536623158E-2</v>
      </c>
      <c r="I26" s="350">
        <f t="shared" si="2"/>
        <v>5855.0148214413739</v>
      </c>
      <c r="J26" s="350">
        <f t="shared" si="3"/>
        <v>1463.7537053603435</v>
      </c>
      <c r="K26" s="350">
        <f t="shared" si="4"/>
        <v>4391.2611160810302</v>
      </c>
      <c r="L26" s="350">
        <f t="shared" si="5"/>
        <v>1172</v>
      </c>
      <c r="N26" s="350"/>
      <c r="O26" s="398">
        <f>+VLOOKUP(C26,Pop_ISTAT!$A$10:$J$273,10,FALSE)</f>
        <v>56941</v>
      </c>
      <c r="P26" s="408">
        <f t="shared" si="7"/>
        <v>56941</v>
      </c>
    </row>
    <row r="27" spans="1:21">
      <c r="A27" s="378">
        <v>9</v>
      </c>
      <c r="B27" s="378" t="s">
        <v>313</v>
      </c>
      <c r="C27" s="378" t="s">
        <v>319</v>
      </c>
      <c r="D27" s="379">
        <v>23061</v>
      </c>
      <c r="E27" s="378">
        <v>0.28799999999999998</v>
      </c>
      <c r="F27" s="382" t="s">
        <v>618</v>
      </c>
      <c r="G27" s="380">
        <f t="shared" si="6"/>
        <v>119184.49274336292</v>
      </c>
      <c r="H27" s="385">
        <f t="shared" si="1"/>
        <v>1.4399280035998187E-2</v>
      </c>
      <c r="I27" s="380">
        <f t="shared" si="2"/>
        <v>5750.5322315698259</v>
      </c>
      <c r="J27" s="380">
        <f t="shared" si="3"/>
        <v>1437.6330578924565</v>
      </c>
      <c r="K27" s="380">
        <f t="shared" si="4"/>
        <v>4312.8991736773696</v>
      </c>
      <c r="L27" s="380">
        <f t="shared" si="5"/>
        <v>1151.9999999999998</v>
      </c>
      <c r="M27" s="400"/>
      <c r="N27" s="380"/>
      <c r="O27" s="401">
        <f>+VLOOKUP(C27,Pop_ISTAT!$A$10:$J$273,10,FALSE)</f>
        <v>96607</v>
      </c>
      <c r="P27" s="400"/>
      <c r="Q27" s="402">
        <f>+O27</f>
        <v>96607</v>
      </c>
    </row>
    <row r="28" spans="1:21">
      <c r="A28" s="348">
        <v>10</v>
      </c>
      <c r="B28" s="348" t="s">
        <v>306</v>
      </c>
      <c r="C28" s="348" t="s">
        <v>320</v>
      </c>
      <c r="D28" s="349">
        <v>17347</v>
      </c>
      <c r="E28" s="348">
        <v>0.216</v>
      </c>
      <c r="F28" s="381"/>
      <c r="G28" s="350">
        <f t="shared" si="6"/>
        <v>89388.369557522208</v>
      </c>
      <c r="H28" s="384">
        <f t="shared" si="1"/>
        <v>1.0799460026998643E-2</v>
      </c>
      <c r="I28" s="350">
        <f t="shared" si="2"/>
        <v>4325.6789653979349</v>
      </c>
      <c r="J28" s="350">
        <f t="shared" si="3"/>
        <v>1081.4197413494837</v>
      </c>
      <c r="K28" s="350">
        <f t="shared" si="4"/>
        <v>3244.259224048451</v>
      </c>
      <c r="L28" s="350">
        <f t="shared" si="5"/>
        <v>864</v>
      </c>
      <c r="N28" s="350"/>
      <c r="O28" s="398">
        <f>+VLOOKUP(C28,Pop_ISTAT!$A$10:$J$273,10,FALSE)</f>
        <v>46882</v>
      </c>
      <c r="P28" s="408">
        <f t="shared" si="7"/>
        <v>46882</v>
      </c>
    </row>
    <row r="29" spans="1:21">
      <c r="A29" s="348">
        <v>11</v>
      </c>
      <c r="B29" s="348" t="s">
        <v>309</v>
      </c>
      <c r="C29" s="348" t="s">
        <v>321</v>
      </c>
      <c r="D29" s="349">
        <v>16934</v>
      </c>
      <c r="E29" s="348">
        <v>0.21099999999999999</v>
      </c>
      <c r="F29" s="381"/>
      <c r="G29" s="350">
        <f t="shared" si="6"/>
        <v>87319.194336283268</v>
      </c>
      <c r="H29" s="384">
        <f t="shared" si="1"/>
        <v>1.0549472526373675E-2</v>
      </c>
      <c r="I29" s="350">
        <f t="shared" si="2"/>
        <v>4222.6925462644049</v>
      </c>
      <c r="J29" s="350">
        <f t="shared" si="3"/>
        <v>1055.6731365661012</v>
      </c>
      <c r="K29" s="350">
        <f t="shared" si="4"/>
        <v>3167.0194096983037</v>
      </c>
      <c r="L29" s="350">
        <f t="shared" si="5"/>
        <v>844</v>
      </c>
      <c r="N29" s="350"/>
      <c r="O29" s="398">
        <f>+VLOOKUP(C29,Pop_ISTAT!$A$10:$J$273,10,FALSE)</f>
        <v>53288</v>
      </c>
      <c r="P29" s="408">
        <f t="shared" si="7"/>
        <v>53288</v>
      </c>
    </row>
    <row r="30" spans="1:21">
      <c r="A30" s="348">
        <v>12</v>
      </c>
      <c r="B30" s="348" t="s">
        <v>306</v>
      </c>
      <c r="C30" s="348" t="s">
        <v>322</v>
      </c>
      <c r="D30" s="349">
        <v>16762</v>
      </c>
      <c r="E30" s="348">
        <v>0.20899999999999999</v>
      </c>
      <c r="F30" s="381"/>
      <c r="G30" s="350">
        <f t="shared" si="6"/>
        <v>86491.524247787675</v>
      </c>
      <c r="H30" s="384">
        <f t="shared" si="1"/>
        <v>1.0449477526123685E-2</v>
      </c>
      <c r="I30" s="350">
        <f t="shared" si="2"/>
        <v>4179.8023184412395</v>
      </c>
      <c r="J30" s="350">
        <f t="shared" si="3"/>
        <v>1044.9505796103099</v>
      </c>
      <c r="K30" s="350">
        <f t="shared" si="4"/>
        <v>3134.8517388309297</v>
      </c>
      <c r="L30" s="350">
        <f t="shared" si="5"/>
        <v>836</v>
      </c>
      <c r="N30" s="350"/>
      <c r="O30" s="398">
        <f>+VLOOKUP(C30,Pop_ISTAT!$A$10:$J$273,10,FALSE)</f>
        <v>47754</v>
      </c>
      <c r="P30" s="408">
        <f t="shared" si="7"/>
        <v>47754</v>
      </c>
    </row>
    <row r="31" spans="1:21">
      <c r="A31" s="348">
        <v>13</v>
      </c>
      <c r="B31" s="348" t="s">
        <v>311</v>
      </c>
      <c r="C31" s="348" t="s">
        <v>898</v>
      </c>
      <c r="D31" s="349">
        <v>16514</v>
      </c>
      <c r="E31" s="348">
        <v>0.20599999999999999</v>
      </c>
      <c r="F31" s="381"/>
      <c r="G31" s="350">
        <f t="shared" si="6"/>
        <v>85250.019115044328</v>
      </c>
      <c r="H31" s="384">
        <f t="shared" si="1"/>
        <v>1.0299485025748706E-2</v>
      </c>
      <c r="I31" s="350">
        <f t="shared" si="2"/>
        <v>4117.9605946031879</v>
      </c>
      <c r="J31" s="350">
        <f t="shared" si="3"/>
        <v>1029.490148650797</v>
      </c>
      <c r="K31" s="350">
        <f t="shared" si="4"/>
        <v>3088.4704459523909</v>
      </c>
      <c r="L31" s="350">
        <f t="shared" si="5"/>
        <v>824</v>
      </c>
      <c r="N31" s="350"/>
      <c r="O31" s="398">
        <f>+VLOOKUP(C31,Pop_ISTAT!$A$10:$J$273,10,FALSE)</f>
        <v>30667</v>
      </c>
      <c r="P31" s="408">
        <f t="shared" si="7"/>
        <v>30667</v>
      </c>
    </row>
    <row r="32" spans="1:21">
      <c r="A32" s="348">
        <v>14</v>
      </c>
      <c r="B32" s="348" t="s">
        <v>309</v>
      </c>
      <c r="C32" s="348" t="s">
        <v>323</v>
      </c>
      <c r="D32" s="349">
        <v>16427</v>
      </c>
      <c r="E32" s="348">
        <v>0.20499999999999999</v>
      </c>
      <c r="F32" s="381"/>
      <c r="G32" s="350">
        <f t="shared" si="6"/>
        <v>84836.184070796531</v>
      </c>
      <c r="H32" s="384">
        <f t="shared" si="1"/>
        <v>1.0249487525623711E-2</v>
      </c>
      <c r="I32" s="350">
        <f t="shared" si="2"/>
        <v>4096.2661189019354</v>
      </c>
      <c r="J32" s="350">
        <f t="shared" si="3"/>
        <v>1024.0665297254839</v>
      </c>
      <c r="K32" s="350">
        <f t="shared" si="4"/>
        <v>3072.1995891764518</v>
      </c>
      <c r="L32" s="350">
        <f t="shared" si="5"/>
        <v>820</v>
      </c>
      <c r="N32" s="350"/>
      <c r="O32" s="398">
        <f>+VLOOKUP(C32,Pop_ISTAT!$A$10:$J$273,10,FALSE)</f>
        <v>49055</v>
      </c>
      <c r="P32" s="408">
        <f t="shared" si="7"/>
        <v>49055</v>
      </c>
    </row>
    <row r="33" spans="1:21">
      <c r="A33" s="348">
        <v>15</v>
      </c>
      <c r="B33" s="348" t="s">
        <v>313</v>
      </c>
      <c r="C33" s="348" t="s">
        <v>324</v>
      </c>
      <c r="D33" s="349">
        <v>16381</v>
      </c>
      <c r="E33" s="348">
        <v>0.20399999999999999</v>
      </c>
      <c r="F33" s="381"/>
      <c r="G33" s="350">
        <f t="shared" si="6"/>
        <v>84422.349026548734</v>
      </c>
      <c r="H33" s="384">
        <f t="shared" si="1"/>
        <v>1.0199490025498716E-2</v>
      </c>
      <c r="I33" s="350">
        <f t="shared" si="2"/>
        <v>4084.7954765771356</v>
      </c>
      <c r="J33" s="350">
        <f t="shared" si="3"/>
        <v>1021.1988691442839</v>
      </c>
      <c r="K33" s="350">
        <f t="shared" si="4"/>
        <v>3063.5966074328517</v>
      </c>
      <c r="L33" s="350">
        <f t="shared" si="5"/>
        <v>816</v>
      </c>
      <c r="N33" s="350"/>
      <c r="O33" s="398">
        <f>+VLOOKUP(C33,Pop_ISTAT!$A$10:$J$273,10,FALSE)</f>
        <v>53362</v>
      </c>
      <c r="P33" s="408">
        <f t="shared" si="7"/>
        <v>53362</v>
      </c>
    </row>
    <row r="34" spans="1:21">
      <c r="A34" s="348">
        <v>16</v>
      </c>
      <c r="B34" s="348" t="s">
        <v>313</v>
      </c>
      <c r="C34" s="348" t="s">
        <v>325</v>
      </c>
      <c r="D34" s="349">
        <v>16320</v>
      </c>
      <c r="E34" s="348">
        <v>0.20300000000000001</v>
      </c>
      <c r="F34" s="381"/>
      <c r="G34" s="350">
        <f t="shared" si="6"/>
        <v>84008.513982300967</v>
      </c>
      <c r="H34" s="384">
        <f t="shared" si="1"/>
        <v>1.0149492525373725E-2</v>
      </c>
      <c r="I34" s="350">
        <f t="shared" si="2"/>
        <v>4069.584407407292</v>
      </c>
      <c r="J34" s="350">
        <f t="shared" si="3"/>
        <v>1017.396101851823</v>
      </c>
      <c r="K34" s="350">
        <f t="shared" si="4"/>
        <v>3052.188305555469</v>
      </c>
      <c r="L34" s="350">
        <f t="shared" si="5"/>
        <v>812</v>
      </c>
      <c r="N34" s="350"/>
      <c r="O34" s="398">
        <f>+VLOOKUP(C34,Pop_ISTAT!$A$10:$J$273,10,FALSE)</f>
        <v>54751</v>
      </c>
      <c r="P34" s="408">
        <f t="shared" si="7"/>
        <v>54751</v>
      </c>
    </row>
    <row r="35" spans="1:21">
      <c r="A35" s="348">
        <v>17</v>
      </c>
      <c r="B35" s="348" t="s">
        <v>306</v>
      </c>
      <c r="C35" s="348" t="s">
        <v>326</v>
      </c>
      <c r="D35" s="349">
        <v>16137</v>
      </c>
      <c r="E35" s="348">
        <v>0.20100000000000001</v>
      </c>
      <c r="F35" s="381"/>
      <c r="G35" s="350">
        <f t="shared" si="6"/>
        <v>83180.843893805388</v>
      </c>
      <c r="H35" s="384">
        <f t="shared" si="1"/>
        <v>1.0049497525123737E-2</v>
      </c>
      <c r="I35" s="350">
        <f t="shared" si="2"/>
        <v>4023.9511998977619</v>
      </c>
      <c r="J35" s="350">
        <f t="shared" si="3"/>
        <v>1005.9877999744405</v>
      </c>
      <c r="K35" s="350">
        <f t="shared" si="4"/>
        <v>3017.9633999233215</v>
      </c>
      <c r="L35" s="350">
        <f t="shared" si="5"/>
        <v>804</v>
      </c>
      <c r="N35" s="350"/>
      <c r="O35" s="398">
        <f>+VLOOKUP(C35,Pop_ISTAT!$A$10:$J$273,10,FALSE)</f>
        <v>70094</v>
      </c>
      <c r="P35" s="408"/>
    </row>
    <row r="36" spans="1:21">
      <c r="A36" s="348">
        <v>18</v>
      </c>
      <c r="B36" s="348" t="s">
        <v>306</v>
      </c>
      <c r="C36" s="348" t="s">
        <v>327</v>
      </c>
      <c r="D36" s="349">
        <v>14105</v>
      </c>
      <c r="E36" s="348">
        <v>0.17599999999999999</v>
      </c>
      <c r="F36" s="381"/>
      <c r="G36" s="350">
        <f t="shared" si="6"/>
        <v>72834.967787610687</v>
      </c>
      <c r="H36" s="384">
        <f t="shared" si="1"/>
        <v>8.7995600219988937E-3</v>
      </c>
      <c r="I36" s="350">
        <f t="shared" si="2"/>
        <v>3517.2480432892066</v>
      </c>
      <c r="J36" s="350">
        <f t="shared" si="3"/>
        <v>879.31201082230166</v>
      </c>
      <c r="K36" s="350">
        <f t="shared" si="4"/>
        <v>2637.9360324669051</v>
      </c>
      <c r="L36" s="350">
        <f t="shared" si="5"/>
        <v>704</v>
      </c>
      <c r="N36" s="350"/>
      <c r="O36" s="398">
        <f>+VLOOKUP(C36,Pop_ISTAT!$A$10:$J$273,10,FALSE)</f>
        <v>57147</v>
      </c>
    </row>
    <row r="37" spans="1:21">
      <c r="A37" s="348">
        <v>19</v>
      </c>
      <c r="B37" s="348" t="s">
        <v>315</v>
      </c>
      <c r="C37" s="348" t="s">
        <v>328</v>
      </c>
      <c r="D37" s="349">
        <v>13961</v>
      </c>
      <c r="E37" s="348">
        <v>0.17399999999999999</v>
      </c>
      <c r="F37" s="381"/>
      <c r="G37" s="350">
        <f t="shared" si="6"/>
        <v>72007.297699115094</v>
      </c>
      <c r="H37" s="384">
        <f t="shared" si="1"/>
        <v>8.6995650217489041E-3</v>
      </c>
      <c r="I37" s="350">
        <f t="shared" si="2"/>
        <v>3481.3399455767894</v>
      </c>
      <c r="J37" s="350">
        <f t="shared" si="3"/>
        <v>870.33498639419736</v>
      </c>
      <c r="K37" s="350">
        <f t="shared" si="4"/>
        <v>2611.0049591825918</v>
      </c>
      <c r="L37" s="350">
        <f t="shared" si="5"/>
        <v>696</v>
      </c>
      <c r="N37" s="350"/>
      <c r="O37" s="398">
        <f>+VLOOKUP(C37,Pop_ISTAT!$A$10:$J$273,10,FALSE)</f>
        <v>29872</v>
      </c>
    </row>
    <row r="38" spans="1:21">
      <c r="A38" s="348">
        <v>20</v>
      </c>
      <c r="B38" s="348" t="s">
        <v>307</v>
      </c>
      <c r="C38" s="348" t="s">
        <v>329</v>
      </c>
      <c r="D38" s="349">
        <v>13446</v>
      </c>
      <c r="E38" s="348">
        <v>0.16800000000000001</v>
      </c>
      <c r="F38" s="381"/>
      <c r="G38" s="350">
        <f t="shared" si="6"/>
        <v>69524.287433628386</v>
      </c>
      <c r="H38" s="384">
        <f t="shared" si="1"/>
        <v>8.3995800209989441E-3</v>
      </c>
      <c r="I38" s="350">
        <f t="shared" si="2"/>
        <v>3352.9186238969637</v>
      </c>
      <c r="J38" s="350">
        <f t="shared" si="3"/>
        <v>838.22965597424093</v>
      </c>
      <c r="K38" s="350">
        <f t="shared" si="4"/>
        <v>2514.6889679227229</v>
      </c>
      <c r="L38" s="350">
        <f t="shared" si="5"/>
        <v>672</v>
      </c>
      <c r="N38" s="350"/>
      <c r="O38" s="398">
        <f>+VLOOKUP(C38,Pop_ISTAT!$A$10:$J$273,10,FALSE)</f>
        <v>14704</v>
      </c>
    </row>
    <row r="39" spans="1:21">
      <c r="A39" s="348">
        <v>21</v>
      </c>
      <c r="B39" s="348" t="s">
        <v>307</v>
      </c>
      <c r="C39" s="348" t="s">
        <v>330</v>
      </c>
      <c r="D39" s="349">
        <v>13425</v>
      </c>
      <c r="E39" s="348">
        <v>0.16700000000000001</v>
      </c>
      <c r="F39" s="381"/>
      <c r="G39" s="350">
        <f t="shared" si="6"/>
        <v>69110.452389380604</v>
      </c>
      <c r="H39" s="384">
        <f t="shared" si="1"/>
        <v>8.3495825208739511E-3</v>
      </c>
      <c r="I39" s="350">
        <f t="shared" si="2"/>
        <v>3347.682026313903</v>
      </c>
      <c r="J39" s="350">
        <f t="shared" si="3"/>
        <v>836.92050657847574</v>
      </c>
      <c r="K39" s="350">
        <f t="shared" si="4"/>
        <v>2510.7615197354271</v>
      </c>
      <c r="L39" s="350">
        <f t="shared" si="5"/>
        <v>668</v>
      </c>
      <c r="N39" s="350"/>
      <c r="O39" s="398">
        <f>+VLOOKUP(C39,Pop_ISTAT!$A$10:$J$273,10,FALSE)</f>
        <v>30172</v>
      </c>
    </row>
    <row r="40" spans="1:21">
      <c r="A40" s="348">
        <v>22</v>
      </c>
      <c r="B40" s="348" t="s">
        <v>306</v>
      </c>
      <c r="C40" s="348" t="s">
        <v>331</v>
      </c>
      <c r="D40" s="349">
        <v>12623</v>
      </c>
      <c r="E40" s="348">
        <v>0.157</v>
      </c>
      <c r="F40" s="381"/>
      <c r="G40" s="350">
        <f t="shared" si="6"/>
        <v>64972.101946902709</v>
      </c>
      <c r="H40" s="384">
        <f t="shared" si="1"/>
        <v>7.849607519624012E-3</v>
      </c>
      <c r="I40" s="350">
        <f t="shared" si="2"/>
        <v>3147.6938709989122</v>
      </c>
      <c r="J40" s="350">
        <f t="shared" si="3"/>
        <v>786.92346774972805</v>
      </c>
      <c r="K40" s="350">
        <f t="shared" si="4"/>
        <v>2360.7704032491843</v>
      </c>
      <c r="L40" s="350">
        <f t="shared" si="5"/>
        <v>628</v>
      </c>
      <c r="N40" s="350"/>
      <c r="O40" s="398">
        <f>+VLOOKUP(C40,Pop_ISTAT!$A$10:$J$273,10,FALSE)</f>
        <v>52915</v>
      </c>
    </row>
    <row r="41" spans="1:21">
      <c r="A41" s="348">
        <v>23</v>
      </c>
      <c r="B41" s="348" t="s">
        <v>311</v>
      </c>
      <c r="C41" s="348" t="s">
        <v>332</v>
      </c>
      <c r="D41" s="349">
        <v>12409</v>
      </c>
      <c r="E41" s="348">
        <v>0.155</v>
      </c>
      <c r="F41" s="381"/>
      <c r="G41" s="350">
        <f t="shared" si="6"/>
        <v>64144.431858407137</v>
      </c>
      <c r="H41" s="384">
        <f t="shared" si="1"/>
        <v>7.749612519374025E-3</v>
      </c>
      <c r="I41" s="350">
        <f t="shared" si="2"/>
        <v>3094.3304480096253</v>
      </c>
      <c r="J41" s="350">
        <f t="shared" si="3"/>
        <v>773.58261200240634</v>
      </c>
      <c r="K41" s="350">
        <f t="shared" si="4"/>
        <v>2320.7478360072191</v>
      </c>
      <c r="L41" s="350">
        <f t="shared" si="5"/>
        <v>620</v>
      </c>
      <c r="N41" s="350"/>
      <c r="O41" s="398">
        <f>+VLOOKUP(C41,Pop_ISTAT!$A$10:$J$273,10,FALSE)</f>
        <v>16913</v>
      </c>
    </row>
    <row r="42" spans="1:21">
      <c r="A42" s="348">
        <v>24</v>
      </c>
      <c r="B42" s="348" t="s">
        <v>307</v>
      </c>
      <c r="C42" s="348" t="s">
        <v>333</v>
      </c>
      <c r="D42" s="349">
        <v>12227</v>
      </c>
      <c r="E42" s="348">
        <v>0.152</v>
      </c>
      <c r="F42" s="381"/>
      <c r="G42" s="350">
        <f t="shared" si="6"/>
        <v>62902.926725663769</v>
      </c>
      <c r="H42" s="384">
        <f t="shared" si="1"/>
        <v>7.5996200189990433E-3</v>
      </c>
      <c r="I42" s="350">
        <f t="shared" si="2"/>
        <v>3048.9466022897645</v>
      </c>
      <c r="J42" s="350">
        <f t="shared" si="3"/>
        <v>762.23665057244114</v>
      </c>
      <c r="K42" s="350">
        <f t="shared" si="4"/>
        <v>2286.7099517173233</v>
      </c>
      <c r="L42" s="350">
        <f t="shared" si="5"/>
        <v>608</v>
      </c>
      <c r="N42" s="350"/>
      <c r="O42" s="398">
        <f>+VLOOKUP(C42,Pop_ISTAT!$A$10:$J$273,10,FALSE)</f>
        <v>46701</v>
      </c>
    </row>
    <row r="43" spans="1:21">
      <c r="A43" s="348">
        <v>25</v>
      </c>
      <c r="B43" s="348" t="s">
        <v>311</v>
      </c>
      <c r="C43" s="348" t="s">
        <v>334</v>
      </c>
      <c r="D43" s="349">
        <v>11478</v>
      </c>
      <c r="E43" s="376">
        <v>0.14299999999999999</v>
      </c>
      <c r="F43" s="381"/>
      <c r="G43" s="517">
        <f>($D$6*E43)/$E$14</f>
        <v>59178.411327433678</v>
      </c>
      <c r="H43" s="384">
        <f t="shared" si="1"/>
        <v>7.1496425178741007E-3</v>
      </c>
      <c r="I43" s="350">
        <f t="shared" si="2"/>
        <v>2862.174621827261</v>
      </c>
      <c r="J43" s="350">
        <f t="shared" si="3"/>
        <v>715.54365545681526</v>
      </c>
      <c r="K43" s="350">
        <f t="shared" si="4"/>
        <v>2146.630966370446</v>
      </c>
      <c r="L43" s="350">
        <f t="shared" si="5"/>
        <v>571.99999999999989</v>
      </c>
      <c r="N43" s="350"/>
      <c r="O43" s="398">
        <f>+VLOOKUP(C43,Pop_ISTAT!$A$10:$J$273,10,FALSE)</f>
        <v>11899</v>
      </c>
      <c r="U43" s="518">
        <f>(D6*E43)/E14</f>
        <v>59178.411327433678</v>
      </c>
    </row>
    <row r="44" spans="1:21">
      <c r="A44" s="348">
        <v>26</v>
      </c>
      <c r="B44" s="348" t="s">
        <v>307</v>
      </c>
      <c r="C44" s="348" t="s">
        <v>335</v>
      </c>
      <c r="D44" s="349">
        <v>11359</v>
      </c>
      <c r="E44" s="348">
        <v>0.14199999999999999</v>
      </c>
      <c r="F44" s="381"/>
      <c r="G44" s="350">
        <f t="shared" si="6"/>
        <v>58764.576283185888</v>
      </c>
      <c r="H44" s="384">
        <f t="shared" si="1"/>
        <v>7.0996450177491068E-3</v>
      </c>
      <c r="I44" s="350">
        <f t="shared" si="2"/>
        <v>2832.5005688565825</v>
      </c>
      <c r="J44" s="350">
        <f t="shared" si="3"/>
        <v>708.12514221414563</v>
      </c>
      <c r="K44" s="350">
        <f t="shared" si="4"/>
        <v>2124.3754266424367</v>
      </c>
      <c r="L44" s="350">
        <f t="shared" si="5"/>
        <v>567.99999999999989</v>
      </c>
      <c r="N44" s="350"/>
      <c r="O44" s="398">
        <f>+VLOOKUP(C44,Pop_ISTAT!$A$10:$J$273,10,FALSE)</f>
        <v>31812</v>
      </c>
    </row>
    <row r="45" spans="1:21">
      <c r="A45" s="348">
        <v>27</v>
      </c>
      <c r="B45" s="348" t="s">
        <v>307</v>
      </c>
      <c r="C45" s="348" t="s">
        <v>336</v>
      </c>
      <c r="D45" s="349">
        <v>11299</v>
      </c>
      <c r="E45" s="348">
        <v>0.14099999999999999</v>
      </c>
      <c r="F45" s="381"/>
      <c r="G45" s="350">
        <f t="shared" si="6"/>
        <v>58350.741238938106</v>
      </c>
      <c r="H45" s="384">
        <f t="shared" si="1"/>
        <v>7.0496475176241137E-3</v>
      </c>
      <c r="I45" s="350">
        <f t="shared" si="2"/>
        <v>2817.5388614764088</v>
      </c>
      <c r="J45" s="350">
        <f t="shared" si="3"/>
        <v>704.3847153691022</v>
      </c>
      <c r="K45" s="350">
        <f t="shared" si="4"/>
        <v>2113.1541461073066</v>
      </c>
      <c r="L45" s="350">
        <f t="shared" si="5"/>
        <v>563.99999999999989</v>
      </c>
      <c r="N45" s="350"/>
      <c r="O45" s="398">
        <f>+VLOOKUP(C45,Pop_ISTAT!$A$10:$J$273,10,FALSE)</f>
        <v>21720</v>
      </c>
    </row>
    <row r="46" spans="1:21">
      <c r="A46" s="348">
        <v>28</v>
      </c>
      <c r="B46" s="348" t="s">
        <v>311</v>
      </c>
      <c r="C46" s="348" t="s">
        <v>337</v>
      </c>
      <c r="D46" s="349">
        <v>11198</v>
      </c>
      <c r="E46" s="348">
        <v>0.14000000000000001</v>
      </c>
      <c r="F46" s="381"/>
      <c r="G46" s="350">
        <f t="shared" si="6"/>
        <v>57936.906194690317</v>
      </c>
      <c r="H46" s="384">
        <f t="shared" si="1"/>
        <v>6.9996500174991198E-3</v>
      </c>
      <c r="I46" s="350">
        <f t="shared" si="2"/>
        <v>2792.3533207197829</v>
      </c>
      <c r="J46" s="350">
        <f t="shared" si="3"/>
        <v>698.08833017994573</v>
      </c>
      <c r="K46" s="350">
        <f t="shared" si="4"/>
        <v>2094.2649905398371</v>
      </c>
      <c r="L46" s="350">
        <f t="shared" si="5"/>
        <v>560.00000000000011</v>
      </c>
      <c r="N46" s="350"/>
      <c r="O46" s="398">
        <f>+VLOOKUP(C46,Pop_ISTAT!$A$10:$J$273,10,FALSE)</f>
        <v>10035</v>
      </c>
    </row>
    <row r="47" spans="1:21">
      <c r="A47" s="348">
        <v>29</v>
      </c>
      <c r="B47" s="348" t="s">
        <v>315</v>
      </c>
      <c r="C47" s="348" t="s">
        <v>338</v>
      </c>
      <c r="D47" s="349">
        <v>11052</v>
      </c>
      <c r="E47" s="348">
        <v>0.13800000000000001</v>
      </c>
      <c r="F47" s="381"/>
      <c r="G47" s="350">
        <f t="shared" si="6"/>
        <v>57109.236106194745</v>
      </c>
      <c r="H47" s="384">
        <f t="shared" si="1"/>
        <v>6.8996550172491329E-3</v>
      </c>
      <c r="I47" s="350">
        <f t="shared" si="2"/>
        <v>2755.9464994280265</v>
      </c>
      <c r="J47" s="350">
        <f t="shared" si="3"/>
        <v>688.98662485700663</v>
      </c>
      <c r="K47" s="350">
        <f t="shared" si="4"/>
        <v>2066.95987457102</v>
      </c>
      <c r="L47" s="350">
        <f t="shared" si="5"/>
        <v>552.00000000000011</v>
      </c>
      <c r="N47" s="350"/>
      <c r="O47" s="398">
        <f>+VLOOKUP(C47,Pop_ISTAT!$A$10:$J$273,10,FALSE)</f>
        <v>16983</v>
      </c>
    </row>
    <row r="48" spans="1:21">
      <c r="A48" s="348">
        <v>30</v>
      </c>
      <c r="B48" s="348" t="s">
        <v>311</v>
      </c>
      <c r="C48" s="348" t="s">
        <v>339</v>
      </c>
      <c r="D48" s="349">
        <v>10753</v>
      </c>
      <c r="E48" s="348">
        <v>0.13400000000000001</v>
      </c>
      <c r="F48" s="381"/>
      <c r="G48" s="350">
        <f t="shared" si="6"/>
        <v>55453.895929203594</v>
      </c>
      <c r="H48" s="384">
        <f t="shared" si="1"/>
        <v>6.6996650167491581E-3</v>
      </c>
      <c r="I48" s="350">
        <f t="shared" si="2"/>
        <v>2681.3873243168268</v>
      </c>
      <c r="J48" s="350">
        <f t="shared" si="3"/>
        <v>670.34683107920671</v>
      </c>
      <c r="K48" s="350">
        <f t="shared" si="4"/>
        <v>2011.04049323762</v>
      </c>
      <c r="L48" s="350">
        <f t="shared" si="5"/>
        <v>536</v>
      </c>
      <c r="N48" s="350"/>
      <c r="O48" s="398">
        <f>+VLOOKUP(C48,Pop_ISTAT!$A$10:$J$273,10,FALSE)</f>
        <v>25304</v>
      </c>
    </row>
    <row r="49" spans="1:17">
      <c r="A49" s="348">
        <v>31</v>
      </c>
      <c r="B49" s="348" t="s">
        <v>306</v>
      </c>
      <c r="C49" s="348" t="s">
        <v>340</v>
      </c>
      <c r="D49" s="349">
        <v>10597</v>
      </c>
      <c r="E49" s="348">
        <v>0.13200000000000001</v>
      </c>
      <c r="F49" s="381"/>
      <c r="G49" s="350">
        <f t="shared" si="6"/>
        <v>54626.225840708023</v>
      </c>
      <c r="H49" s="384">
        <f t="shared" si="1"/>
        <v>6.5996700164991711E-3</v>
      </c>
      <c r="I49" s="350">
        <f t="shared" si="2"/>
        <v>2642.4868851283745</v>
      </c>
      <c r="J49" s="350">
        <f t="shared" si="3"/>
        <v>660.62172128209363</v>
      </c>
      <c r="K49" s="350">
        <f t="shared" si="4"/>
        <v>1981.8651638462809</v>
      </c>
      <c r="L49" s="350">
        <f t="shared" si="5"/>
        <v>528</v>
      </c>
      <c r="N49" s="350"/>
      <c r="O49" s="398">
        <f>+VLOOKUP(C49,Pop_ISTAT!$A$10:$J$273,10,FALSE)</f>
        <v>42094</v>
      </c>
    </row>
    <row r="50" spans="1:17">
      <c r="A50" s="348">
        <v>32</v>
      </c>
      <c r="B50" s="348" t="s">
        <v>306</v>
      </c>
      <c r="C50" s="348" t="s">
        <v>341</v>
      </c>
      <c r="D50" s="349">
        <v>10414</v>
      </c>
      <c r="E50" s="348">
        <v>0.13</v>
      </c>
      <c r="F50" s="381"/>
      <c r="G50" s="350">
        <f t="shared" si="6"/>
        <v>53798.555752212436</v>
      </c>
      <c r="H50" s="384">
        <f t="shared" si="1"/>
        <v>6.4996750162491825E-3</v>
      </c>
      <c r="I50" s="350">
        <f t="shared" si="2"/>
        <v>2596.8536776188444</v>
      </c>
      <c r="J50" s="350">
        <f t="shared" si="3"/>
        <v>649.21341940471109</v>
      </c>
      <c r="K50" s="350">
        <f t="shared" si="4"/>
        <v>1947.6402582141332</v>
      </c>
      <c r="L50" s="350">
        <f t="shared" si="5"/>
        <v>520</v>
      </c>
      <c r="N50" s="350"/>
      <c r="O50" s="398">
        <f>+VLOOKUP(C50,Pop_ISTAT!$A$10:$J$273,10,FALSE)</f>
        <v>25903</v>
      </c>
    </row>
    <row r="51" spans="1:17">
      <c r="A51" s="348">
        <v>33</v>
      </c>
      <c r="B51" s="348" t="s">
        <v>306</v>
      </c>
      <c r="C51" s="348" t="s">
        <v>342</v>
      </c>
      <c r="D51" s="349">
        <v>10239</v>
      </c>
      <c r="E51" s="348">
        <v>0.128</v>
      </c>
      <c r="F51" s="381"/>
      <c r="G51" s="350">
        <f t="shared" si="6"/>
        <v>52970.885663716865</v>
      </c>
      <c r="H51" s="384">
        <f t="shared" si="1"/>
        <v>6.3996800159991955E-3</v>
      </c>
      <c r="I51" s="350">
        <f t="shared" si="2"/>
        <v>2553.2153644266705</v>
      </c>
      <c r="J51" s="350">
        <f t="shared" si="3"/>
        <v>638.30384110666762</v>
      </c>
      <c r="K51" s="350">
        <f t="shared" si="4"/>
        <v>1914.9115233200027</v>
      </c>
      <c r="L51" s="350">
        <f t="shared" si="5"/>
        <v>512</v>
      </c>
      <c r="N51" s="350"/>
      <c r="O51" s="398">
        <f>+VLOOKUP(C51,Pop_ISTAT!$A$10:$J$273,10,FALSE)</f>
        <v>25706</v>
      </c>
    </row>
    <row r="52" spans="1:17">
      <c r="A52" s="378">
        <v>34</v>
      </c>
      <c r="B52" s="378" t="s">
        <v>309</v>
      </c>
      <c r="C52" s="378" t="s">
        <v>343</v>
      </c>
      <c r="D52" s="379">
        <v>10174</v>
      </c>
      <c r="E52" s="378">
        <v>0.127</v>
      </c>
      <c r="F52" s="382" t="s">
        <v>619</v>
      </c>
      <c r="G52" s="380">
        <f t="shared" si="6"/>
        <v>52557.050619469068</v>
      </c>
      <c r="H52" s="385">
        <f t="shared" si="1"/>
        <v>6.3496825158742007E-3</v>
      </c>
      <c r="I52" s="380">
        <f t="shared" si="2"/>
        <v>2537.006848098149</v>
      </c>
      <c r="J52" s="380">
        <f t="shared" si="3"/>
        <v>634.25171202453726</v>
      </c>
      <c r="K52" s="380">
        <f t="shared" si="4"/>
        <v>1902.7551360736118</v>
      </c>
      <c r="L52" s="380">
        <f t="shared" si="5"/>
        <v>508</v>
      </c>
      <c r="M52" s="400"/>
      <c r="N52" s="380"/>
      <c r="O52" s="401">
        <f>+VLOOKUP(C52,Pop_ISTAT!$A$10:$J$273,10,FALSE)</f>
        <v>30531</v>
      </c>
      <c r="P52" s="400"/>
      <c r="Q52" s="402">
        <f>+O52</f>
        <v>30531</v>
      </c>
    </row>
    <row r="53" spans="1:17">
      <c r="A53" s="348">
        <v>35</v>
      </c>
      <c r="B53" s="348" t="s">
        <v>306</v>
      </c>
      <c r="C53" s="348" t="s">
        <v>344</v>
      </c>
      <c r="D53" s="349">
        <v>10169</v>
      </c>
      <c r="E53" s="348">
        <v>0.127</v>
      </c>
      <c r="F53" s="381"/>
      <c r="G53" s="350">
        <f t="shared" si="6"/>
        <v>52557.050619469068</v>
      </c>
      <c r="H53" s="384">
        <f t="shared" si="1"/>
        <v>6.3496825158742007E-3</v>
      </c>
      <c r="I53" s="350">
        <f t="shared" si="2"/>
        <v>2535.7600391498008</v>
      </c>
      <c r="J53" s="350">
        <f t="shared" si="3"/>
        <v>633.94000978745021</v>
      </c>
      <c r="K53" s="350">
        <f t="shared" si="4"/>
        <v>1901.8200293623506</v>
      </c>
      <c r="L53" s="350">
        <f t="shared" si="5"/>
        <v>508</v>
      </c>
      <c r="N53" s="350"/>
      <c r="O53" s="398">
        <f>+VLOOKUP(C53,Pop_ISTAT!$A$10:$J$273,10,FALSE)</f>
        <v>19126</v>
      </c>
    </row>
    <row r="54" spans="1:17">
      <c r="A54" s="348">
        <v>36</v>
      </c>
      <c r="B54" s="348" t="s">
        <v>315</v>
      </c>
      <c r="C54" s="348" t="s">
        <v>345</v>
      </c>
      <c r="D54" s="349">
        <v>10074</v>
      </c>
      <c r="E54" s="348">
        <v>0.126</v>
      </c>
      <c r="F54" s="381"/>
      <c r="G54" s="350">
        <f t="shared" si="6"/>
        <v>52143.215575221286</v>
      </c>
      <c r="H54" s="384">
        <f t="shared" si="1"/>
        <v>6.2996850157492077E-3</v>
      </c>
      <c r="I54" s="350">
        <f t="shared" si="2"/>
        <v>2512.0706691311925</v>
      </c>
      <c r="J54" s="350">
        <f t="shared" si="3"/>
        <v>628.01766728279813</v>
      </c>
      <c r="K54" s="350">
        <f t="shared" si="4"/>
        <v>1884.0530018483944</v>
      </c>
      <c r="L54" s="350">
        <f t="shared" si="5"/>
        <v>504</v>
      </c>
      <c r="N54" s="350"/>
      <c r="O54" s="398">
        <f>+VLOOKUP(C54,Pop_ISTAT!$A$10:$J$273,10,FALSE)</f>
        <v>34512</v>
      </c>
    </row>
    <row r="55" spans="1:17">
      <c r="A55" s="348">
        <v>37</v>
      </c>
      <c r="B55" s="348" t="s">
        <v>306</v>
      </c>
      <c r="C55" s="348" t="s">
        <v>346</v>
      </c>
      <c r="D55" s="349">
        <v>9999</v>
      </c>
      <c r="E55" s="348">
        <v>0.125</v>
      </c>
      <c r="F55" s="381"/>
      <c r="G55" s="350">
        <f t="shared" si="6"/>
        <v>51729.380530973496</v>
      </c>
      <c r="H55" s="384">
        <f t="shared" si="1"/>
        <v>6.2496875156242138E-3</v>
      </c>
      <c r="I55" s="350">
        <f t="shared" si="2"/>
        <v>2493.3685349059751</v>
      </c>
      <c r="J55" s="350">
        <f t="shared" si="3"/>
        <v>623.34213372649378</v>
      </c>
      <c r="K55" s="350">
        <f t="shared" si="4"/>
        <v>1870.0264011794814</v>
      </c>
      <c r="L55" s="350">
        <f t="shared" si="5"/>
        <v>500</v>
      </c>
      <c r="N55" s="350"/>
      <c r="O55" s="398">
        <f>+VLOOKUP(C55,Pop_ISTAT!$A$10:$J$273,10,FALSE)</f>
        <v>24177</v>
      </c>
    </row>
    <row r="56" spans="1:17">
      <c r="A56" s="348">
        <v>38</v>
      </c>
      <c r="B56" s="348" t="s">
        <v>311</v>
      </c>
      <c r="C56" s="348" t="s">
        <v>347</v>
      </c>
      <c r="D56" s="349">
        <v>9876</v>
      </c>
      <c r="E56" s="348">
        <v>0.123</v>
      </c>
      <c r="F56" s="381"/>
      <c r="G56" s="350">
        <f t="shared" si="6"/>
        <v>50901.710442477925</v>
      </c>
      <c r="H56" s="384">
        <f t="shared" si="1"/>
        <v>6.1496925153742268E-3</v>
      </c>
      <c r="I56" s="350">
        <f t="shared" si="2"/>
        <v>2462.6970347766187</v>
      </c>
      <c r="J56" s="350">
        <f t="shared" si="3"/>
        <v>615.67425869415467</v>
      </c>
      <c r="K56" s="350">
        <f t="shared" si="4"/>
        <v>1847.0227760824641</v>
      </c>
      <c r="L56" s="350">
        <f t="shared" si="5"/>
        <v>492</v>
      </c>
      <c r="N56" s="350"/>
      <c r="O56" s="398">
        <f>+VLOOKUP(C56,Pop_ISTAT!$A$10:$J$273,10,FALSE)</f>
        <v>5538</v>
      </c>
    </row>
    <row r="57" spans="1:17">
      <c r="A57" s="348">
        <v>39</v>
      </c>
      <c r="B57" s="348" t="s">
        <v>311</v>
      </c>
      <c r="C57" s="348" t="s">
        <v>348</v>
      </c>
      <c r="D57" s="349">
        <v>9869</v>
      </c>
      <c r="E57" s="348">
        <v>0.123</v>
      </c>
      <c r="F57" s="381"/>
      <c r="G57" s="350">
        <f t="shared" si="6"/>
        <v>50901.710442477925</v>
      </c>
      <c r="H57" s="384">
        <f t="shared" si="1"/>
        <v>6.1496925153742268E-3</v>
      </c>
      <c r="I57" s="350">
        <f t="shared" si="2"/>
        <v>2460.9515022489318</v>
      </c>
      <c r="J57" s="350">
        <f t="shared" si="3"/>
        <v>615.23787556223294</v>
      </c>
      <c r="K57" s="350">
        <f t="shared" si="4"/>
        <v>1845.7136266866987</v>
      </c>
      <c r="L57" s="350">
        <f t="shared" si="5"/>
        <v>492</v>
      </c>
      <c r="N57" s="350"/>
      <c r="O57" s="398">
        <f>+VLOOKUP(C57,Pop_ISTAT!$A$10:$J$273,10,FALSE)</f>
        <v>14813</v>
      </c>
    </row>
    <row r="58" spans="1:17">
      <c r="A58" s="348">
        <v>40</v>
      </c>
      <c r="B58" s="348" t="s">
        <v>311</v>
      </c>
      <c r="C58" s="348" t="s">
        <v>349</v>
      </c>
      <c r="D58" s="349">
        <v>9738</v>
      </c>
      <c r="E58" s="348">
        <v>0.121</v>
      </c>
      <c r="F58" s="381"/>
      <c r="G58" s="350">
        <f t="shared" si="6"/>
        <v>50074.040353982346</v>
      </c>
      <c r="H58" s="384">
        <f t="shared" si="1"/>
        <v>6.049697515124239E-3</v>
      </c>
      <c r="I58" s="350">
        <f t="shared" si="2"/>
        <v>2428.2851078022186</v>
      </c>
      <c r="J58" s="350">
        <f t="shared" si="3"/>
        <v>607.07127695055465</v>
      </c>
      <c r="K58" s="350">
        <f t="shared" si="4"/>
        <v>1821.2138308516639</v>
      </c>
      <c r="L58" s="350">
        <f t="shared" si="5"/>
        <v>484</v>
      </c>
      <c r="N58" s="350"/>
      <c r="O58" s="398">
        <f>+VLOOKUP(C58,Pop_ISTAT!$A$10:$J$273,10,FALSE)</f>
        <v>18931</v>
      </c>
    </row>
    <row r="59" spans="1:17">
      <c r="A59" s="348">
        <v>41</v>
      </c>
      <c r="B59" s="348" t="s">
        <v>307</v>
      </c>
      <c r="C59" s="348" t="s">
        <v>350</v>
      </c>
      <c r="D59" s="349">
        <v>9736</v>
      </c>
      <c r="E59" s="348">
        <v>0.121</v>
      </c>
      <c r="F59" s="381"/>
      <c r="G59" s="350">
        <f t="shared" si="6"/>
        <v>50074.040353982346</v>
      </c>
      <c r="H59" s="384">
        <f t="shared" si="1"/>
        <v>6.049697515124239E-3</v>
      </c>
      <c r="I59" s="350">
        <f t="shared" si="2"/>
        <v>2427.7863842228794</v>
      </c>
      <c r="J59" s="350">
        <f t="shared" si="3"/>
        <v>606.94659605571985</v>
      </c>
      <c r="K59" s="350">
        <f t="shared" si="4"/>
        <v>1820.8397881671594</v>
      </c>
      <c r="L59" s="350">
        <f t="shared" si="5"/>
        <v>484</v>
      </c>
      <c r="N59" s="350"/>
      <c r="O59" s="398">
        <f>+VLOOKUP(C59,Pop_ISTAT!$A$10:$J$273,10,FALSE)</f>
        <v>15923</v>
      </c>
    </row>
    <row r="60" spans="1:17">
      <c r="A60" s="348">
        <v>42</v>
      </c>
      <c r="B60" s="348" t="s">
        <v>313</v>
      </c>
      <c r="C60" s="348" t="s">
        <v>351</v>
      </c>
      <c r="D60" s="349">
        <v>9649</v>
      </c>
      <c r="E60" s="348">
        <v>0.12</v>
      </c>
      <c r="F60" s="381"/>
      <c r="G60" s="350">
        <f t="shared" si="6"/>
        <v>49660.205309734556</v>
      </c>
      <c r="H60" s="384">
        <f t="shared" si="1"/>
        <v>5.9997000149992451E-3</v>
      </c>
      <c r="I60" s="350">
        <f t="shared" si="2"/>
        <v>2406.0919085216274</v>
      </c>
      <c r="J60" s="350">
        <f t="shared" si="3"/>
        <v>601.52297713040684</v>
      </c>
      <c r="K60" s="350">
        <f t="shared" si="4"/>
        <v>1804.5689313912205</v>
      </c>
      <c r="L60" s="350">
        <f t="shared" si="5"/>
        <v>480</v>
      </c>
      <c r="N60" s="350"/>
      <c r="O60" s="398">
        <f>+VLOOKUP(C60,Pop_ISTAT!$A$10:$J$273,10,FALSE)</f>
        <v>27466</v>
      </c>
    </row>
    <row r="61" spans="1:17">
      <c r="A61" s="348">
        <v>43</v>
      </c>
      <c r="B61" s="348" t="s">
        <v>311</v>
      </c>
      <c r="C61" s="348" t="s">
        <v>352</v>
      </c>
      <c r="D61" s="349">
        <v>9593</v>
      </c>
      <c r="E61" s="348">
        <v>0.12</v>
      </c>
      <c r="F61" s="381"/>
      <c r="G61" s="350">
        <f t="shared" si="6"/>
        <v>49660.205309734556</v>
      </c>
      <c r="H61" s="384">
        <f t="shared" si="1"/>
        <v>5.9997000149992451E-3</v>
      </c>
      <c r="I61" s="350">
        <f t="shared" si="2"/>
        <v>2392.127648300132</v>
      </c>
      <c r="J61" s="350">
        <f t="shared" si="3"/>
        <v>598.03191207503301</v>
      </c>
      <c r="K61" s="350">
        <f t="shared" si="4"/>
        <v>1794.095736225099</v>
      </c>
      <c r="L61" s="350">
        <f t="shared" si="5"/>
        <v>480</v>
      </c>
      <c r="N61" s="350"/>
      <c r="O61" s="398">
        <f>+VLOOKUP(C61,Pop_ISTAT!$A$10:$J$273,10,FALSE)</f>
        <v>22828</v>
      </c>
    </row>
    <row r="62" spans="1:17">
      <c r="A62" s="348">
        <v>44</v>
      </c>
      <c r="B62" s="348" t="s">
        <v>306</v>
      </c>
      <c r="C62" s="348" t="s">
        <v>353</v>
      </c>
      <c r="D62" s="349">
        <v>9344</v>
      </c>
      <c r="E62" s="348">
        <v>0.11700000000000001</v>
      </c>
      <c r="F62" s="381"/>
      <c r="G62" s="350">
        <f t="shared" si="6"/>
        <v>48418.700176991195</v>
      </c>
      <c r="H62" s="384">
        <f t="shared" si="1"/>
        <v>5.8497075146242642E-3</v>
      </c>
      <c r="I62" s="350">
        <f t="shared" si="2"/>
        <v>2330.0365626724101</v>
      </c>
      <c r="J62" s="350">
        <f t="shared" si="3"/>
        <v>582.50914066810253</v>
      </c>
      <c r="K62" s="350">
        <f t="shared" si="4"/>
        <v>1747.5274220043075</v>
      </c>
      <c r="L62" s="350">
        <f t="shared" si="5"/>
        <v>468</v>
      </c>
      <c r="N62" s="350"/>
      <c r="O62" s="398">
        <f>+VLOOKUP(C62,Pop_ISTAT!$A$10:$J$273,10,FALSE)</f>
        <v>35972</v>
      </c>
    </row>
    <row r="63" spans="1:17">
      <c r="A63" s="348">
        <v>45</v>
      </c>
      <c r="B63" s="348" t="s">
        <v>309</v>
      </c>
      <c r="C63" s="348" t="s">
        <v>354</v>
      </c>
      <c r="D63" s="349">
        <v>9092</v>
      </c>
      <c r="E63" s="348">
        <v>0.113</v>
      </c>
      <c r="F63" s="381"/>
      <c r="G63" s="350">
        <f t="shared" si="6"/>
        <v>46763.360000000044</v>
      </c>
      <c r="H63" s="384">
        <f t="shared" si="1"/>
        <v>5.6497175141242894E-3</v>
      </c>
      <c r="I63" s="350">
        <f t="shared" si="2"/>
        <v>2267.1973916756801</v>
      </c>
      <c r="J63" s="350">
        <f t="shared" si="3"/>
        <v>566.79934791892003</v>
      </c>
      <c r="K63" s="350">
        <f t="shared" si="4"/>
        <v>1700.3980437567602</v>
      </c>
      <c r="L63" s="350">
        <f t="shared" si="5"/>
        <v>452</v>
      </c>
      <c r="N63" s="350"/>
      <c r="O63" s="398">
        <f>+VLOOKUP(C63,Pop_ISTAT!$A$10:$J$273,10,FALSE)</f>
        <v>26271</v>
      </c>
    </row>
    <row r="64" spans="1:17">
      <c r="A64" s="373">
        <v>46</v>
      </c>
      <c r="B64" s="373" t="s">
        <v>315</v>
      </c>
      <c r="C64" s="373" t="s">
        <v>355</v>
      </c>
      <c r="D64" s="403">
        <v>8979</v>
      </c>
      <c r="E64" s="373">
        <v>0.112</v>
      </c>
      <c r="F64" s="404"/>
      <c r="G64" s="389">
        <f t="shared" si="6"/>
        <v>46349.524955752255</v>
      </c>
      <c r="H64" s="388">
        <f t="shared" si="1"/>
        <v>5.5997200139992955E-3</v>
      </c>
      <c r="I64" s="389">
        <f t="shared" si="2"/>
        <v>2239.0195094430192</v>
      </c>
      <c r="J64" s="389">
        <f t="shared" si="3"/>
        <v>559.75487736075479</v>
      </c>
      <c r="K64" s="389">
        <f t="shared" si="4"/>
        <v>1679.2646320822644</v>
      </c>
      <c r="L64" s="389">
        <f t="shared" si="5"/>
        <v>448</v>
      </c>
      <c r="M64" s="390" t="s">
        <v>623</v>
      </c>
      <c r="N64" s="389">
        <v>10000</v>
      </c>
      <c r="O64" s="406">
        <f>+VLOOKUP(C64,Pop_ISTAT!$A$10:$J$273,10,FALSE)</f>
        <v>25908</v>
      </c>
      <c r="P64" s="407">
        <f>+O64</f>
        <v>25908</v>
      </c>
      <c r="Q64" s="390"/>
    </row>
    <row r="65" spans="1:17">
      <c r="A65" s="348">
        <v>47</v>
      </c>
      <c r="B65" s="348" t="s">
        <v>306</v>
      </c>
      <c r="C65" s="348" t="s">
        <v>356</v>
      </c>
      <c r="D65" s="349">
        <v>8734</v>
      </c>
      <c r="E65" s="348">
        <v>0.109</v>
      </c>
      <c r="F65" s="381"/>
      <c r="G65" s="350">
        <f t="shared" si="6"/>
        <v>45108.019823008894</v>
      </c>
      <c r="H65" s="384">
        <f t="shared" si="1"/>
        <v>5.4497275136243147E-3</v>
      </c>
      <c r="I65" s="350">
        <f t="shared" si="2"/>
        <v>2177.9258709739761</v>
      </c>
      <c r="J65" s="350">
        <f t="shared" si="3"/>
        <v>544.48146774349402</v>
      </c>
      <c r="K65" s="350">
        <f t="shared" si="4"/>
        <v>1633.4444032304821</v>
      </c>
      <c r="L65" s="350">
        <f t="shared" si="5"/>
        <v>436</v>
      </c>
      <c r="N65" s="350"/>
      <c r="O65" s="398">
        <f>+VLOOKUP(C65,Pop_ISTAT!$A$10:$J$273,10,FALSE)</f>
        <v>15151</v>
      </c>
    </row>
    <row r="66" spans="1:17">
      <c r="A66" s="348">
        <v>48</v>
      </c>
      <c r="B66" s="348" t="s">
        <v>307</v>
      </c>
      <c r="C66" s="348" t="s">
        <v>357</v>
      </c>
      <c r="D66" s="349">
        <v>8648</v>
      </c>
      <c r="E66" s="348">
        <v>0.108</v>
      </c>
      <c r="F66" s="381"/>
      <c r="G66" s="350">
        <f t="shared" si="6"/>
        <v>44694.184778761104</v>
      </c>
      <c r="H66" s="384">
        <f t="shared" si="1"/>
        <v>5.3997300134993216E-3</v>
      </c>
      <c r="I66" s="350">
        <f t="shared" si="2"/>
        <v>2156.4807570623934</v>
      </c>
      <c r="J66" s="350">
        <f t="shared" si="3"/>
        <v>539.12018926559836</v>
      </c>
      <c r="K66" s="350">
        <f t="shared" si="4"/>
        <v>1617.3605677967951</v>
      </c>
      <c r="L66" s="350">
        <f t="shared" si="5"/>
        <v>432</v>
      </c>
      <c r="N66" s="350"/>
      <c r="O66" s="398">
        <f>+VLOOKUP(C66,Pop_ISTAT!$A$10:$J$273,10,FALSE)</f>
        <v>8173</v>
      </c>
    </row>
    <row r="67" spans="1:17">
      <c r="A67" s="348">
        <v>49</v>
      </c>
      <c r="B67" s="348" t="s">
        <v>307</v>
      </c>
      <c r="C67" s="348" t="s">
        <v>358</v>
      </c>
      <c r="D67" s="349">
        <v>8620</v>
      </c>
      <c r="E67" s="348">
        <v>0.107</v>
      </c>
      <c r="F67" s="381"/>
      <c r="G67" s="350">
        <f t="shared" si="6"/>
        <v>44280.349734513315</v>
      </c>
      <c r="H67" s="384">
        <f t="shared" si="1"/>
        <v>5.3497325133743277E-3</v>
      </c>
      <c r="I67" s="350">
        <f t="shared" si="2"/>
        <v>2149.4986269516457</v>
      </c>
      <c r="J67" s="350">
        <f t="shared" si="3"/>
        <v>537.37465673791144</v>
      </c>
      <c r="K67" s="350">
        <f t="shared" si="4"/>
        <v>1612.1239702137343</v>
      </c>
      <c r="L67" s="350">
        <f t="shared" si="5"/>
        <v>428</v>
      </c>
      <c r="N67" s="350"/>
      <c r="O67" s="398">
        <f>+VLOOKUP(C67,Pop_ISTAT!$A$10:$J$273,10,FALSE)</f>
        <v>29623</v>
      </c>
    </row>
    <row r="68" spans="1:17">
      <c r="A68" s="348">
        <v>50</v>
      </c>
      <c r="B68" s="348" t="s">
        <v>306</v>
      </c>
      <c r="C68" s="348" t="s">
        <v>359</v>
      </c>
      <c r="D68" s="349">
        <v>8450</v>
      </c>
      <c r="E68" s="348">
        <v>0.105</v>
      </c>
      <c r="F68" s="381"/>
      <c r="G68" s="350">
        <f t="shared" si="6"/>
        <v>43452.679646017736</v>
      </c>
      <c r="H68" s="384">
        <f t="shared" si="1"/>
        <v>5.2497375131243399E-3</v>
      </c>
      <c r="I68" s="350">
        <f t="shared" si="2"/>
        <v>2107.1071227078196</v>
      </c>
      <c r="J68" s="350">
        <f t="shared" si="3"/>
        <v>526.7767806769549</v>
      </c>
      <c r="K68" s="350">
        <f t="shared" si="4"/>
        <v>1580.3303420308648</v>
      </c>
      <c r="L68" s="350">
        <f t="shared" si="5"/>
        <v>420</v>
      </c>
      <c r="N68" s="350"/>
      <c r="O68" s="398">
        <f>+VLOOKUP(C68,Pop_ISTAT!$A$10:$J$273,10,FALSE)</f>
        <v>25650</v>
      </c>
    </row>
    <row r="69" spans="1:17">
      <c r="A69" s="348">
        <v>51</v>
      </c>
      <c r="B69" s="348" t="s">
        <v>315</v>
      </c>
      <c r="C69" s="348" t="s">
        <v>360</v>
      </c>
      <c r="D69" s="349">
        <v>8341</v>
      </c>
      <c r="E69" s="348">
        <v>0.104</v>
      </c>
      <c r="F69" s="381"/>
      <c r="G69" s="350">
        <f t="shared" si="6"/>
        <v>43038.844601769946</v>
      </c>
      <c r="H69" s="384">
        <f t="shared" si="1"/>
        <v>5.199740012999346E-3</v>
      </c>
      <c r="I69" s="350">
        <f t="shared" si="2"/>
        <v>2079.926687633837</v>
      </c>
      <c r="J69" s="350">
        <f t="shared" si="3"/>
        <v>519.98167190845925</v>
      </c>
      <c r="K69" s="350">
        <f t="shared" si="4"/>
        <v>1559.9450157253777</v>
      </c>
      <c r="L69" s="350">
        <f t="shared" si="5"/>
        <v>416</v>
      </c>
      <c r="N69" s="350"/>
      <c r="O69" s="398">
        <f>+VLOOKUP(C69,Pop_ISTAT!$A$10:$J$273,10,FALSE)</f>
        <v>18503</v>
      </c>
    </row>
    <row r="70" spans="1:17">
      <c r="A70" s="378">
        <v>52</v>
      </c>
      <c r="B70" s="378" t="s">
        <v>311</v>
      </c>
      <c r="C70" s="378" t="s">
        <v>362</v>
      </c>
      <c r="D70" s="379">
        <v>8295</v>
      </c>
      <c r="E70" s="378">
        <v>0.10299999999999999</v>
      </c>
      <c r="F70" s="382" t="s">
        <v>618</v>
      </c>
      <c r="G70" s="380">
        <f t="shared" si="6"/>
        <v>42625.009557522164</v>
      </c>
      <c r="H70" s="385">
        <f t="shared" si="1"/>
        <v>5.1497425128743529E-3</v>
      </c>
      <c r="I70" s="380">
        <f t="shared" si="2"/>
        <v>2068.4560453090371</v>
      </c>
      <c r="J70" s="380">
        <f t="shared" si="3"/>
        <v>517.11401132725928</v>
      </c>
      <c r="K70" s="380">
        <f t="shared" si="4"/>
        <v>1551.3420339817778</v>
      </c>
      <c r="L70" s="380">
        <f t="shared" si="5"/>
        <v>412</v>
      </c>
      <c r="M70" s="400"/>
      <c r="N70" s="380"/>
      <c r="O70" s="401">
        <f>+VLOOKUP(C70,Pop_ISTAT!$A$10:$J$273,10,FALSE)</f>
        <v>10692</v>
      </c>
      <c r="P70" s="400"/>
      <c r="Q70" s="402">
        <f>+O70</f>
        <v>10692</v>
      </c>
    </row>
    <row r="71" spans="1:17">
      <c r="A71" s="348">
        <v>53</v>
      </c>
      <c r="B71" s="348" t="s">
        <v>306</v>
      </c>
      <c r="C71" s="348" t="s">
        <v>363</v>
      </c>
      <c r="D71" s="349">
        <v>8256</v>
      </c>
      <c r="E71" s="348">
        <v>0.10299999999999999</v>
      </c>
      <c r="F71" s="381"/>
      <c r="G71" s="350">
        <f t="shared" si="6"/>
        <v>42625.009557522164</v>
      </c>
      <c r="H71" s="384">
        <f t="shared" si="1"/>
        <v>5.1497425128743529E-3</v>
      </c>
      <c r="I71" s="350">
        <f t="shared" si="2"/>
        <v>2058.7309355119241</v>
      </c>
      <c r="J71" s="350">
        <f t="shared" si="3"/>
        <v>514.68273387798104</v>
      </c>
      <c r="K71" s="350">
        <f t="shared" si="4"/>
        <v>1544.0482016339431</v>
      </c>
      <c r="L71" s="350">
        <f t="shared" si="5"/>
        <v>412</v>
      </c>
      <c r="N71" s="350"/>
      <c r="O71" s="398">
        <f>+VLOOKUP(C71,Pop_ISTAT!$A$10:$J$273,10,FALSE)</f>
        <v>19727</v>
      </c>
    </row>
    <row r="72" spans="1:17">
      <c r="A72" s="348">
        <v>54</v>
      </c>
      <c r="B72" s="348" t="s">
        <v>311</v>
      </c>
      <c r="C72" s="348" t="s">
        <v>364</v>
      </c>
      <c r="D72" s="349">
        <v>8205</v>
      </c>
      <c r="E72" s="348">
        <v>0.10199999999999999</v>
      </c>
      <c r="F72" s="381"/>
      <c r="G72" s="350">
        <f t="shared" si="6"/>
        <v>42211.174513274367</v>
      </c>
      <c r="H72" s="384">
        <f t="shared" si="1"/>
        <v>5.0997450127493581E-3</v>
      </c>
      <c r="I72" s="350">
        <f t="shared" si="2"/>
        <v>2046.0134842387763</v>
      </c>
      <c r="J72" s="350">
        <f t="shared" si="3"/>
        <v>511.50337105969408</v>
      </c>
      <c r="K72" s="350">
        <f t="shared" si="4"/>
        <v>1534.5101131790823</v>
      </c>
      <c r="L72" s="350">
        <f t="shared" si="5"/>
        <v>408</v>
      </c>
      <c r="N72" s="350"/>
      <c r="O72" s="398">
        <f>+VLOOKUP(C72,Pop_ISTAT!$A$10:$J$273,10,FALSE)</f>
        <v>19090</v>
      </c>
    </row>
    <row r="73" spans="1:17">
      <c r="A73" s="348">
        <v>55</v>
      </c>
      <c r="B73" s="348" t="s">
        <v>315</v>
      </c>
      <c r="C73" s="348" t="s">
        <v>365</v>
      </c>
      <c r="D73" s="349">
        <v>8117</v>
      </c>
      <c r="E73" s="348">
        <v>0.10100000000000001</v>
      </c>
      <c r="F73" s="381"/>
      <c r="G73" s="350">
        <f t="shared" si="6"/>
        <v>41797.339469026592</v>
      </c>
      <c r="H73" s="384">
        <f t="shared" si="1"/>
        <v>5.049747512624366E-3</v>
      </c>
      <c r="I73" s="350">
        <f t="shared" si="2"/>
        <v>2024.0696467478547</v>
      </c>
      <c r="J73" s="350">
        <f t="shared" si="3"/>
        <v>506.01741168696367</v>
      </c>
      <c r="K73" s="350">
        <f t="shared" si="4"/>
        <v>1518.052235060891</v>
      </c>
      <c r="L73" s="350">
        <f t="shared" si="5"/>
        <v>404</v>
      </c>
      <c r="N73" s="350"/>
      <c r="O73" s="398">
        <f>+VLOOKUP(C73,Pop_ISTAT!$A$10:$J$273,10,FALSE)</f>
        <v>17842</v>
      </c>
    </row>
    <row r="74" spans="1:17">
      <c r="A74" s="348">
        <v>56</v>
      </c>
      <c r="B74" s="348" t="s">
        <v>315</v>
      </c>
      <c r="C74" s="348" t="s">
        <v>366</v>
      </c>
      <c r="D74" s="349">
        <v>7968</v>
      </c>
      <c r="E74" s="348">
        <v>9.9000000000000005E-2</v>
      </c>
      <c r="F74" s="381"/>
      <c r="G74" s="350">
        <f t="shared" si="6"/>
        <v>40969.669380531013</v>
      </c>
      <c r="H74" s="384">
        <f t="shared" si="1"/>
        <v>4.9497525123743781E-3</v>
      </c>
      <c r="I74" s="350">
        <f t="shared" si="2"/>
        <v>1986.9147400870895</v>
      </c>
      <c r="J74" s="350">
        <f t="shared" si="3"/>
        <v>496.72868502177238</v>
      </c>
      <c r="K74" s="350">
        <f t="shared" si="4"/>
        <v>1490.1860550653171</v>
      </c>
      <c r="L74" s="350">
        <f t="shared" si="5"/>
        <v>396</v>
      </c>
      <c r="N74" s="350"/>
      <c r="O74" s="398">
        <f>+VLOOKUP(C74,Pop_ISTAT!$A$10:$J$273,10,FALSE)</f>
        <v>11035</v>
      </c>
    </row>
    <row r="75" spans="1:17">
      <c r="A75" s="348">
        <v>57</v>
      </c>
      <c r="B75" s="348" t="s">
        <v>309</v>
      </c>
      <c r="C75" s="348" t="s">
        <v>367</v>
      </c>
      <c r="D75" s="349">
        <v>7877</v>
      </c>
      <c r="E75" s="348">
        <v>9.8000000000000004E-2</v>
      </c>
      <c r="F75" s="381"/>
      <c r="G75" s="350">
        <f t="shared" si="6"/>
        <v>40555.834336283224</v>
      </c>
      <c r="H75" s="384">
        <f t="shared" si="1"/>
        <v>4.8997550122493842E-3</v>
      </c>
      <c r="I75" s="350">
        <f t="shared" si="2"/>
        <v>1964.2228172271593</v>
      </c>
      <c r="J75" s="350">
        <f t="shared" si="3"/>
        <v>491.05570430678983</v>
      </c>
      <c r="K75" s="350">
        <f t="shared" si="4"/>
        <v>1473.1671129203696</v>
      </c>
      <c r="L75" s="350">
        <f t="shared" si="5"/>
        <v>392</v>
      </c>
      <c r="N75" s="350"/>
      <c r="O75" s="398">
        <f>+VLOOKUP(C75,Pop_ISTAT!$A$10:$J$273,10,FALSE)</f>
        <v>13239</v>
      </c>
    </row>
    <row r="76" spans="1:17">
      <c r="A76" s="348">
        <v>58</v>
      </c>
      <c r="B76" s="348" t="s">
        <v>306</v>
      </c>
      <c r="C76" s="348" t="s">
        <v>368</v>
      </c>
      <c r="D76" s="349">
        <v>7554</v>
      </c>
      <c r="E76" s="348">
        <v>9.4E-2</v>
      </c>
      <c r="F76" s="381"/>
      <c r="G76" s="350">
        <f t="shared" si="6"/>
        <v>38900.494159292073</v>
      </c>
      <c r="H76" s="384">
        <f t="shared" si="1"/>
        <v>4.6997650117494095E-3</v>
      </c>
      <c r="I76" s="350">
        <f t="shared" si="2"/>
        <v>1883.6789591638899</v>
      </c>
      <c r="J76" s="350">
        <f t="shared" si="3"/>
        <v>470.91973979097247</v>
      </c>
      <c r="K76" s="350">
        <f t="shared" si="4"/>
        <v>1412.7592193729174</v>
      </c>
      <c r="L76" s="350">
        <f t="shared" si="5"/>
        <v>376</v>
      </c>
      <c r="N76" s="350"/>
      <c r="O76" s="398">
        <f>+VLOOKUP(C76,Pop_ISTAT!$A$10:$J$273,10,FALSE)</f>
        <v>24195</v>
      </c>
    </row>
    <row r="77" spans="1:17">
      <c r="A77" s="348">
        <v>59</v>
      </c>
      <c r="B77" s="348" t="s">
        <v>311</v>
      </c>
      <c r="C77" s="348" t="s">
        <v>369</v>
      </c>
      <c r="D77" s="349">
        <v>7385</v>
      </c>
      <c r="E77" s="348">
        <v>9.1999999999999998E-2</v>
      </c>
      <c r="F77" s="381"/>
      <c r="G77" s="350">
        <f t="shared" si="6"/>
        <v>38072.824070796494</v>
      </c>
      <c r="H77" s="384">
        <f t="shared" si="1"/>
        <v>4.5997700114994216E-3</v>
      </c>
      <c r="I77" s="350">
        <f t="shared" si="2"/>
        <v>1841.5368167097336</v>
      </c>
      <c r="J77" s="350">
        <f t="shared" si="3"/>
        <v>460.38420417743339</v>
      </c>
      <c r="K77" s="350">
        <f t="shared" si="4"/>
        <v>1381.1526125323003</v>
      </c>
      <c r="L77" s="350">
        <f t="shared" si="5"/>
        <v>368</v>
      </c>
      <c r="N77" s="350"/>
      <c r="O77" s="398">
        <f>+VLOOKUP(C77,Pop_ISTAT!$A$10:$J$273,10,FALSE)</f>
        <v>2805</v>
      </c>
    </row>
    <row r="78" spans="1:17">
      <c r="A78" s="348">
        <v>60</v>
      </c>
      <c r="B78" s="348" t="s">
        <v>309</v>
      </c>
      <c r="C78" s="348" t="s">
        <v>370</v>
      </c>
      <c r="D78" s="349">
        <v>7380</v>
      </c>
      <c r="E78" s="348">
        <v>9.1999999999999998E-2</v>
      </c>
      <c r="F78" s="381"/>
      <c r="G78" s="350">
        <f t="shared" si="6"/>
        <v>38072.824070796494</v>
      </c>
      <c r="H78" s="384">
        <f t="shared" si="1"/>
        <v>4.5997700114994216E-3</v>
      </c>
      <c r="I78" s="350">
        <f t="shared" si="2"/>
        <v>1840.2900077613858</v>
      </c>
      <c r="J78" s="350">
        <f t="shared" si="3"/>
        <v>460.07250194034646</v>
      </c>
      <c r="K78" s="350">
        <f t="shared" si="4"/>
        <v>1380.2175058210394</v>
      </c>
      <c r="L78" s="350">
        <f t="shared" si="5"/>
        <v>368</v>
      </c>
      <c r="N78" s="350"/>
      <c r="O78" s="398">
        <f>+VLOOKUP(C78,Pop_ISTAT!$A$10:$J$273,10,FALSE)</f>
        <v>2594</v>
      </c>
    </row>
    <row r="79" spans="1:17">
      <c r="A79" s="348">
        <v>61</v>
      </c>
      <c r="B79" s="348" t="s">
        <v>306</v>
      </c>
      <c r="C79" s="348" t="s">
        <v>371</v>
      </c>
      <c r="D79" s="349">
        <v>7379</v>
      </c>
      <c r="E79" s="348">
        <v>9.1999999999999998E-2</v>
      </c>
      <c r="F79" s="381"/>
      <c r="G79" s="350">
        <f t="shared" si="6"/>
        <v>38072.824070796494</v>
      </c>
      <c r="H79" s="384">
        <f t="shared" si="1"/>
        <v>4.5997700114994216E-3</v>
      </c>
      <c r="I79" s="350">
        <f t="shared" si="2"/>
        <v>1840.0406459717162</v>
      </c>
      <c r="J79" s="350">
        <f t="shared" si="3"/>
        <v>460.01016149292906</v>
      </c>
      <c r="K79" s="350">
        <f t="shared" si="4"/>
        <v>1380.0304844787872</v>
      </c>
      <c r="L79" s="350">
        <f t="shared" si="5"/>
        <v>368</v>
      </c>
      <c r="N79" s="350"/>
      <c r="O79" s="398">
        <f>+VLOOKUP(C79,Pop_ISTAT!$A$10:$J$273,10,FALSE)</f>
        <v>18215</v>
      </c>
    </row>
    <row r="80" spans="1:17">
      <c r="A80" s="348">
        <v>62</v>
      </c>
      <c r="B80" s="348" t="s">
        <v>306</v>
      </c>
      <c r="C80" s="348" t="s">
        <v>372</v>
      </c>
      <c r="D80" s="349">
        <v>7331</v>
      </c>
      <c r="E80" s="348">
        <v>9.0999999999999998E-2</v>
      </c>
      <c r="F80" s="381"/>
      <c r="G80" s="350">
        <f t="shared" si="6"/>
        <v>37658.989026548705</v>
      </c>
      <c r="H80" s="384">
        <f t="shared" si="1"/>
        <v>4.5497725113744277E-3</v>
      </c>
      <c r="I80" s="350">
        <f t="shared" si="2"/>
        <v>1828.0712800675772</v>
      </c>
      <c r="J80" s="350">
        <f t="shared" si="3"/>
        <v>457.01782001689429</v>
      </c>
      <c r="K80" s="350">
        <f t="shared" si="4"/>
        <v>1371.0534600506828</v>
      </c>
      <c r="L80" s="350">
        <f t="shared" si="5"/>
        <v>364</v>
      </c>
      <c r="N80" s="350"/>
      <c r="O80" s="398">
        <f>+VLOOKUP(C80,Pop_ISTAT!$A$10:$J$273,10,FALSE)</f>
        <v>18100</v>
      </c>
    </row>
    <row r="81" spans="1:15">
      <c r="A81" s="348">
        <v>63</v>
      </c>
      <c r="B81" s="348" t="s">
        <v>306</v>
      </c>
      <c r="C81" s="348" t="s">
        <v>373</v>
      </c>
      <c r="D81" s="349">
        <v>7219</v>
      </c>
      <c r="E81" s="348">
        <v>0.09</v>
      </c>
      <c r="F81" s="381"/>
      <c r="G81" s="350">
        <f t="shared" si="6"/>
        <v>37245.153982300915</v>
      </c>
      <c r="H81" s="384">
        <f t="shared" si="1"/>
        <v>4.4997750112494338E-3</v>
      </c>
      <c r="I81" s="350">
        <f t="shared" si="2"/>
        <v>1800.1427596245858</v>
      </c>
      <c r="J81" s="350">
        <f t="shared" si="3"/>
        <v>450.03568990614644</v>
      </c>
      <c r="K81" s="350">
        <f t="shared" si="4"/>
        <v>1350.1070697184393</v>
      </c>
      <c r="L81" s="350">
        <f t="shared" si="5"/>
        <v>360</v>
      </c>
      <c r="N81" s="350"/>
      <c r="O81" s="398">
        <f>+VLOOKUP(C81,Pop_ISTAT!$A$10:$J$273,10,FALSE)</f>
        <v>26443</v>
      </c>
    </row>
    <row r="82" spans="1:15">
      <c r="A82" s="348">
        <v>64</v>
      </c>
      <c r="B82" s="348" t="s">
        <v>309</v>
      </c>
      <c r="C82" s="348" t="s">
        <v>374</v>
      </c>
      <c r="D82" s="349">
        <v>7145</v>
      </c>
      <c r="E82" s="348">
        <v>8.8999999999999996E-2</v>
      </c>
      <c r="F82" s="381"/>
      <c r="G82" s="350">
        <f t="shared" si="6"/>
        <v>36831.318938053126</v>
      </c>
      <c r="H82" s="384">
        <f t="shared" si="1"/>
        <v>4.4497775111244399E-3</v>
      </c>
      <c r="I82" s="350">
        <f t="shared" si="2"/>
        <v>1781.689987189038</v>
      </c>
      <c r="J82" s="350">
        <f t="shared" si="3"/>
        <v>445.4224967972595</v>
      </c>
      <c r="K82" s="350">
        <f t="shared" si="4"/>
        <v>1336.2674903917784</v>
      </c>
      <c r="L82" s="350">
        <f t="shared" si="5"/>
        <v>356</v>
      </c>
      <c r="N82" s="350"/>
      <c r="O82" s="398">
        <f>+VLOOKUP(C82,Pop_ISTAT!$A$10:$J$273,10,FALSE)</f>
        <v>13413</v>
      </c>
    </row>
    <row r="83" spans="1:15">
      <c r="A83" s="348">
        <v>65</v>
      </c>
      <c r="B83" s="348" t="s">
        <v>311</v>
      </c>
      <c r="C83" s="348" t="s">
        <v>375</v>
      </c>
      <c r="D83" s="349">
        <v>7125</v>
      </c>
      <c r="E83" s="348">
        <v>8.8999999999999996E-2</v>
      </c>
      <c r="F83" s="381"/>
      <c r="G83" s="350">
        <f t="shared" si="6"/>
        <v>36831.318938053126</v>
      </c>
      <c r="H83" s="384">
        <f t="shared" si="1"/>
        <v>4.4497775111244399E-3</v>
      </c>
      <c r="I83" s="350">
        <f t="shared" si="2"/>
        <v>1776.7027513956468</v>
      </c>
      <c r="J83" s="350">
        <f t="shared" si="3"/>
        <v>444.17568784891171</v>
      </c>
      <c r="K83" s="350">
        <f t="shared" si="4"/>
        <v>1332.527063546735</v>
      </c>
      <c r="L83" s="350">
        <f t="shared" si="5"/>
        <v>356</v>
      </c>
      <c r="N83" s="350"/>
      <c r="O83" s="398">
        <f>+VLOOKUP(C83,Pop_ISTAT!$A$10:$J$273,10,FALSE)</f>
        <v>9155</v>
      </c>
    </row>
    <row r="84" spans="1:15">
      <c r="A84" s="348">
        <v>66</v>
      </c>
      <c r="B84" s="348" t="s">
        <v>311</v>
      </c>
      <c r="C84" s="348" t="s">
        <v>376</v>
      </c>
      <c r="D84" s="349">
        <v>7092</v>
      </c>
      <c r="E84" s="348">
        <v>8.7999999999999995E-2</v>
      </c>
      <c r="F84" s="381"/>
      <c r="G84" s="350">
        <f t="shared" si="6"/>
        <v>36417.483893805344</v>
      </c>
      <c r="H84" s="384">
        <f t="shared" ref="H84:H147" si="8">+G84/$G$14</f>
        <v>4.3997800109994468E-3</v>
      </c>
      <c r="I84" s="350">
        <f t="shared" ref="I84:I147" si="9">+$D$10/$D$14*D84</f>
        <v>1768.4738123365512</v>
      </c>
      <c r="J84" s="350">
        <f t="shared" ref="J84:J147" si="10">+I84*25%</f>
        <v>442.1184530841378</v>
      </c>
      <c r="K84" s="350">
        <f t="shared" ref="K84:K147" si="11">+I84-J84</f>
        <v>1326.3553592524133</v>
      </c>
      <c r="L84" s="350">
        <f t="shared" ref="L84:L147" si="12">+$D$10*$E84/100</f>
        <v>352</v>
      </c>
      <c r="N84" s="350"/>
      <c r="O84" s="398">
        <f>+VLOOKUP(C84,Pop_ISTAT!$A$10:$J$273,10,FALSE)</f>
        <v>13295</v>
      </c>
    </row>
    <row r="85" spans="1:15">
      <c r="A85" s="348">
        <v>67</v>
      </c>
      <c r="B85" s="348" t="s">
        <v>306</v>
      </c>
      <c r="C85" s="348" t="s">
        <v>377</v>
      </c>
      <c r="D85" s="349">
        <v>7076</v>
      </c>
      <c r="E85" s="348">
        <v>8.7999999999999995E-2</v>
      </c>
      <c r="F85" s="381"/>
      <c r="G85" s="350">
        <f t="shared" ref="G85:G148" si="13">+$D$6*E85/$E$14</f>
        <v>36417.483893805344</v>
      </c>
      <c r="H85" s="384">
        <f t="shared" si="8"/>
        <v>4.3997800109994468E-3</v>
      </c>
      <c r="I85" s="350">
        <f t="shared" si="9"/>
        <v>1764.4840237018382</v>
      </c>
      <c r="J85" s="350">
        <f t="shared" si="10"/>
        <v>441.12100592545954</v>
      </c>
      <c r="K85" s="350">
        <f t="shared" si="11"/>
        <v>1323.3630177763787</v>
      </c>
      <c r="L85" s="350">
        <f t="shared" si="12"/>
        <v>352</v>
      </c>
      <c r="N85" s="350"/>
      <c r="O85" s="398">
        <f>+VLOOKUP(C85,Pop_ISTAT!$A$10:$J$273,10,FALSE)</f>
        <v>17336</v>
      </c>
    </row>
    <row r="86" spans="1:15">
      <c r="A86" s="348">
        <v>68</v>
      </c>
      <c r="B86" s="348" t="s">
        <v>311</v>
      </c>
      <c r="C86" s="348" t="s">
        <v>378</v>
      </c>
      <c r="D86" s="349">
        <v>6938</v>
      </c>
      <c r="E86" s="348">
        <v>8.6999999999999994E-2</v>
      </c>
      <c r="F86" s="381"/>
      <c r="G86" s="350">
        <f t="shared" si="13"/>
        <v>36003.648849557547</v>
      </c>
      <c r="H86" s="384">
        <f t="shared" si="8"/>
        <v>4.3497825108744521E-3</v>
      </c>
      <c r="I86" s="350">
        <f t="shared" si="9"/>
        <v>1730.0720967274383</v>
      </c>
      <c r="J86" s="350">
        <f t="shared" si="10"/>
        <v>432.51802418185957</v>
      </c>
      <c r="K86" s="350">
        <f t="shared" si="11"/>
        <v>1297.5540725455787</v>
      </c>
      <c r="L86" s="350">
        <f t="shared" si="12"/>
        <v>348</v>
      </c>
      <c r="N86" s="350"/>
      <c r="O86" s="398">
        <f>+VLOOKUP(C86,Pop_ISTAT!$A$10:$J$273,10,FALSE)</f>
        <v>11643</v>
      </c>
    </row>
    <row r="87" spans="1:15">
      <c r="A87" s="348">
        <v>69</v>
      </c>
      <c r="B87" s="348" t="s">
        <v>306</v>
      </c>
      <c r="C87" s="348" t="s">
        <v>379</v>
      </c>
      <c r="D87" s="349">
        <v>6815</v>
      </c>
      <c r="E87" s="348">
        <v>8.5000000000000006E-2</v>
      </c>
      <c r="F87" s="381"/>
      <c r="G87" s="350">
        <f t="shared" si="13"/>
        <v>35175.978761061982</v>
      </c>
      <c r="H87" s="384">
        <f t="shared" si="8"/>
        <v>4.249787510624466E-3</v>
      </c>
      <c r="I87" s="350">
        <f t="shared" si="9"/>
        <v>1699.4005965980818</v>
      </c>
      <c r="J87" s="350">
        <f t="shared" si="10"/>
        <v>424.85014914952046</v>
      </c>
      <c r="K87" s="350">
        <f t="shared" si="11"/>
        <v>1274.5504474485615</v>
      </c>
      <c r="L87" s="350">
        <f t="shared" si="12"/>
        <v>340</v>
      </c>
      <c r="N87" s="350"/>
      <c r="O87" s="398">
        <f>+VLOOKUP(C87,Pop_ISTAT!$A$10:$J$273,10,FALSE)</f>
        <v>12955</v>
      </c>
    </row>
    <row r="88" spans="1:15">
      <c r="A88" s="348">
        <v>70</v>
      </c>
      <c r="B88" s="348" t="s">
        <v>315</v>
      </c>
      <c r="C88" s="348" t="s">
        <v>380</v>
      </c>
      <c r="D88" s="349">
        <v>6764</v>
      </c>
      <c r="E88" s="348">
        <v>8.4000000000000005E-2</v>
      </c>
      <c r="F88" s="381"/>
      <c r="G88" s="350">
        <f t="shared" si="13"/>
        <v>34762.143716814193</v>
      </c>
      <c r="H88" s="384">
        <f t="shared" si="8"/>
        <v>4.1997900104994721E-3</v>
      </c>
      <c r="I88" s="350">
        <f t="shared" si="9"/>
        <v>1686.683145324934</v>
      </c>
      <c r="J88" s="350">
        <f t="shared" si="10"/>
        <v>421.6707863312335</v>
      </c>
      <c r="K88" s="350">
        <f t="shared" si="11"/>
        <v>1265.0123589937004</v>
      </c>
      <c r="L88" s="350">
        <f t="shared" si="12"/>
        <v>336</v>
      </c>
      <c r="N88" s="350"/>
      <c r="O88" s="398">
        <f>+VLOOKUP(C88,Pop_ISTAT!$A$10:$J$273,10,FALSE)</f>
        <v>14358</v>
      </c>
    </row>
    <row r="89" spans="1:15">
      <c r="A89" s="348">
        <v>71</v>
      </c>
      <c r="B89" s="348" t="s">
        <v>307</v>
      </c>
      <c r="C89" s="348" t="s">
        <v>381</v>
      </c>
      <c r="D89" s="349">
        <v>6723</v>
      </c>
      <c r="E89" s="348">
        <v>8.4000000000000005E-2</v>
      </c>
      <c r="F89" s="381"/>
      <c r="G89" s="350">
        <f t="shared" si="13"/>
        <v>34762.143716814193</v>
      </c>
      <c r="H89" s="384">
        <f t="shared" si="8"/>
        <v>4.1997900104994721E-3</v>
      </c>
      <c r="I89" s="350">
        <f t="shared" si="9"/>
        <v>1676.4593119484819</v>
      </c>
      <c r="J89" s="350">
        <f t="shared" si="10"/>
        <v>419.11482798712046</v>
      </c>
      <c r="K89" s="350">
        <f t="shared" si="11"/>
        <v>1257.3444839613614</v>
      </c>
      <c r="L89" s="350">
        <f t="shared" si="12"/>
        <v>336</v>
      </c>
      <c r="N89" s="350"/>
      <c r="O89" s="398">
        <f>+VLOOKUP(C89,Pop_ISTAT!$A$10:$J$273,10,FALSE)</f>
        <v>12606</v>
      </c>
    </row>
    <row r="90" spans="1:15">
      <c r="A90" s="348">
        <v>72</v>
      </c>
      <c r="B90" s="348" t="s">
        <v>306</v>
      </c>
      <c r="C90" s="348" t="s">
        <v>382</v>
      </c>
      <c r="D90" s="349">
        <v>6692</v>
      </c>
      <c r="E90" s="348">
        <v>8.3000000000000004E-2</v>
      </c>
      <c r="F90" s="381"/>
      <c r="G90" s="350">
        <f t="shared" si="13"/>
        <v>34348.308672566411</v>
      </c>
      <c r="H90" s="384">
        <f t="shared" si="8"/>
        <v>4.149792510374479E-3</v>
      </c>
      <c r="I90" s="350">
        <f t="shared" si="9"/>
        <v>1668.7290964687254</v>
      </c>
      <c r="J90" s="350">
        <f t="shared" si="10"/>
        <v>417.18227411718135</v>
      </c>
      <c r="K90" s="350">
        <f t="shared" si="11"/>
        <v>1251.5468223515441</v>
      </c>
      <c r="L90" s="350">
        <f t="shared" si="12"/>
        <v>332</v>
      </c>
      <c r="N90" s="350"/>
      <c r="O90" s="398">
        <f>+VLOOKUP(C90,Pop_ISTAT!$A$10:$J$273,10,FALSE)</f>
        <v>20350</v>
      </c>
    </row>
    <row r="91" spans="1:15">
      <c r="A91" s="348">
        <v>73</v>
      </c>
      <c r="B91" s="348" t="s">
        <v>311</v>
      </c>
      <c r="C91" s="348" t="s">
        <v>383</v>
      </c>
      <c r="D91" s="349">
        <v>6641</v>
      </c>
      <c r="E91" s="348">
        <v>8.3000000000000004E-2</v>
      </c>
      <c r="F91" s="381"/>
      <c r="G91" s="350">
        <f t="shared" si="13"/>
        <v>34348.308672566411</v>
      </c>
      <c r="H91" s="384">
        <f t="shared" si="8"/>
        <v>4.149792510374479E-3</v>
      </c>
      <c r="I91" s="350">
        <f t="shared" si="9"/>
        <v>1656.0116451955776</v>
      </c>
      <c r="J91" s="350">
        <f t="shared" si="10"/>
        <v>414.00291129889439</v>
      </c>
      <c r="K91" s="350">
        <f t="shared" si="11"/>
        <v>1242.0087338966832</v>
      </c>
      <c r="L91" s="350">
        <f t="shared" si="12"/>
        <v>332</v>
      </c>
      <c r="N91" s="350"/>
      <c r="O91" s="398">
        <f>+VLOOKUP(C91,Pop_ISTAT!$A$10:$J$273,10,FALSE)</f>
        <v>5551</v>
      </c>
    </row>
    <row r="92" spans="1:15">
      <c r="A92" s="348">
        <v>74</v>
      </c>
      <c r="B92" s="348" t="s">
        <v>313</v>
      </c>
      <c r="C92" s="348" t="s">
        <v>384</v>
      </c>
      <c r="D92" s="349">
        <v>6621</v>
      </c>
      <c r="E92" s="348">
        <v>8.3000000000000004E-2</v>
      </c>
      <c r="F92" s="381"/>
      <c r="G92" s="350">
        <f t="shared" si="13"/>
        <v>34348.308672566411</v>
      </c>
      <c r="H92" s="384">
        <f t="shared" si="8"/>
        <v>4.149792510374479E-3</v>
      </c>
      <c r="I92" s="350">
        <f t="shared" si="9"/>
        <v>1651.0244094021864</v>
      </c>
      <c r="J92" s="350">
        <f t="shared" si="10"/>
        <v>412.7561023505466</v>
      </c>
      <c r="K92" s="350">
        <f t="shared" si="11"/>
        <v>1238.2683070516398</v>
      </c>
      <c r="L92" s="350">
        <f t="shared" si="12"/>
        <v>332</v>
      </c>
      <c r="N92" s="350"/>
      <c r="O92" s="398">
        <f>+VLOOKUP(C92,Pop_ISTAT!$A$10:$J$273,10,FALSE)</f>
        <v>13635</v>
      </c>
    </row>
    <row r="93" spans="1:15">
      <c r="A93" s="348">
        <v>75</v>
      </c>
      <c r="B93" s="348" t="s">
        <v>306</v>
      </c>
      <c r="C93" s="348" t="s">
        <v>385</v>
      </c>
      <c r="D93" s="349">
        <v>6489</v>
      </c>
      <c r="E93" s="348">
        <v>8.1000000000000003E-2</v>
      </c>
      <c r="F93" s="381"/>
      <c r="G93" s="350">
        <f t="shared" si="13"/>
        <v>33520.638584070832</v>
      </c>
      <c r="H93" s="384">
        <f t="shared" si="8"/>
        <v>4.0497975101244912E-3</v>
      </c>
      <c r="I93" s="350">
        <f t="shared" si="9"/>
        <v>1618.1086531658038</v>
      </c>
      <c r="J93" s="350">
        <f t="shared" si="10"/>
        <v>404.52716329145096</v>
      </c>
      <c r="K93" s="350">
        <f t="shared" si="11"/>
        <v>1213.5814898743529</v>
      </c>
      <c r="L93" s="350">
        <f t="shared" si="12"/>
        <v>324</v>
      </c>
      <c r="N93" s="350"/>
      <c r="O93" s="398">
        <f>+VLOOKUP(C93,Pop_ISTAT!$A$10:$J$273,10,FALSE)</f>
        <v>25850</v>
      </c>
    </row>
    <row r="94" spans="1:15">
      <c r="A94" s="348">
        <v>76</v>
      </c>
      <c r="B94" s="348" t="s">
        <v>311</v>
      </c>
      <c r="C94" s="348" t="s">
        <v>386</v>
      </c>
      <c r="D94" s="349">
        <v>6458</v>
      </c>
      <c r="E94" s="348">
        <v>8.1000000000000003E-2</v>
      </c>
      <c r="F94" s="381"/>
      <c r="G94" s="350">
        <f t="shared" si="13"/>
        <v>33520.638584070832</v>
      </c>
      <c r="H94" s="384">
        <f t="shared" si="8"/>
        <v>4.0497975101244912E-3</v>
      </c>
      <c r="I94" s="350">
        <f t="shared" si="9"/>
        <v>1610.3784376860474</v>
      </c>
      <c r="J94" s="350">
        <f t="shared" si="10"/>
        <v>402.59460942151185</v>
      </c>
      <c r="K94" s="350">
        <f t="shared" si="11"/>
        <v>1207.7838282645355</v>
      </c>
      <c r="L94" s="350">
        <f t="shared" si="12"/>
        <v>324</v>
      </c>
      <c r="N94" s="350"/>
      <c r="O94" s="398">
        <f>+VLOOKUP(C94,Pop_ISTAT!$A$10:$J$273,10,FALSE)</f>
        <v>13105</v>
      </c>
    </row>
    <row r="95" spans="1:15">
      <c r="A95" s="348">
        <v>77</v>
      </c>
      <c r="B95" s="348" t="s">
        <v>309</v>
      </c>
      <c r="C95" s="348" t="s">
        <v>387</v>
      </c>
      <c r="D95" s="349">
        <v>6365</v>
      </c>
      <c r="E95" s="348">
        <v>7.9000000000000001E-2</v>
      </c>
      <c r="F95" s="381"/>
      <c r="G95" s="350">
        <f t="shared" si="13"/>
        <v>32692.968495575253</v>
      </c>
      <c r="H95" s="384">
        <f t="shared" si="8"/>
        <v>3.9498025098745034E-3</v>
      </c>
      <c r="I95" s="350">
        <f t="shared" si="9"/>
        <v>1587.1877912467778</v>
      </c>
      <c r="J95" s="350">
        <f t="shared" si="10"/>
        <v>396.79694781169445</v>
      </c>
      <c r="K95" s="350">
        <f t="shared" si="11"/>
        <v>1190.3908434350833</v>
      </c>
      <c r="L95" s="350">
        <f t="shared" si="12"/>
        <v>316</v>
      </c>
      <c r="N95" s="350"/>
      <c r="O95" s="398">
        <f>+VLOOKUP(C95,Pop_ISTAT!$A$10:$J$273,10,FALSE)</f>
        <v>12470</v>
      </c>
    </row>
    <row r="96" spans="1:15">
      <c r="A96" s="348">
        <v>78</v>
      </c>
      <c r="B96" s="348" t="s">
        <v>309</v>
      </c>
      <c r="C96" s="348" t="s">
        <v>388</v>
      </c>
      <c r="D96" s="349">
        <v>6336</v>
      </c>
      <c r="E96" s="348">
        <v>7.9000000000000001E-2</v>
      </c>
      <c r="F96" s="381"/>
      <c r="G96" s="350">
        <f t="shared" si="13"/>
        <v>32692.968495575253</v>
      </c>
      <c r="H96" s="384">
        <f t="shared" si="8"/>
        <v>3.9498025098745034E-3</v>
      </c>
      <c r="I96" s="350">
        <f t="shared" si="9"/>
        <v>1579.9562993463603</v>
      </c>
      <c r="J96" s="350">
        <f t="shared" si="10"/>
        <v>394.98907483659008</v>
      </c>
      <c r="K96" s="350">
        <f t="shared" si="11"/>
        <v>1184.9672245097702</v>
      </c>
      <c r="L96" s="350">
        <f t="shared" si="12"/>
        <v>316</v>
      </c>
      <c r="N96" s="350"/>
      <c r="O96" s="398">
        <f>+VLOOKUP(C96,Pop_ISTAT!$A$10:$J$273,10,FALSE)</f>
        <v>16348</v>
      </c>
    </row>
    <row r="97" spans="1:17">
      <c r="A97" s="373">
        <v>79</v>
      </c>
      <c r="B97" s="373" t="s">
        <v>307</v>
      </c>
      <c r="C97" s="373" t="s">
        <v>389</v>
      </c>
      <c r="D97" s="403">
        <v>6170</v>
      </c>
      <c r="E97" s="373">
        <v>7.6999999999999999E-2</v>
      </c>
      <c r="F97" s="404"/>
      <c r="G97" s="389">
        <f t="shared" si="13"/>
        <v>31865.298407079677</v>
      </c>
      <c r="H97" s="405">
        <f t="shared" si="8"/>
        <v>3.849807509624516E-3</v>
      </c>
      <c r="I97" s="389">
        <f t="shared" si="9"/>
        <v>1538.5622422612128</v>
      </c>
      <c r="J97" s="389">
        <f t="shared" si="10"/>
        <v>384.64056056530319</v>
      </c>
      <c r="K97" s="389">
        <f t="shared" si="11"/>
        <v>1153.9216816959097</v>
      </c>
      <c r="L97" s="389">
        <f t="shared" si="12"/>
        <v>308</v>
      </c>
      <c r="M97" s="390" t="s">
        <v>623</v>
      </c>
      <c r="N97" s="389">
        <v>10000</v>
      </c>
      <c r="O97" s="406">
        <f>+VLOOKUP(C97,Pop_ISTAT!$A$10:$J$273,10,FALSE)</f>
        <v>12936</v>
      </c>
      <c r="P97" s="407">
        <f>+O97</f>
        <v>12936</v>
      </c>
      <c r="Q97" s="390"/>
    </row>
    <row r="98" spans="1:17">
      <c r="A98" s="348">
        <v>80</v>
      </c>
      <c r="B98" s="348" t="s">
        <v>315</v>
      </c>
      <c r="C98" s="348" t="s">
        <v>390</v>
      </c>
      <c r="D98" s="349">
        <v>6158</v>
      </c>
      <c r="E98" s="348">
        <v>7.6999999999999999E-2</v>
      </c>
      <c r="F98" s="381"/>
      <c r="G98" s="350">
        <f t="shared" si="13"/>
        <v>31865.298407079677</v>
      </c>
      <c r="H98" s="384">
        <f t="shared" si="8"/>
        <v>3.849807509624516E-3</v>
      </c>
      <c r="I98" s="350">
        <f t="shared" si="9"/>
        <v>1535.5699007851779</v>
      </c>
      <c r="J98" s="350">
        <f t="shared" si="10"/>
        <v>383.89247519629447</v>
      </c>
      <c r="K98" s="350">
        <f t="shared" si="11"/>
        <v>1151.6774255888834</v>
      </c>
      <c r="L98" s="350">
        <f t="shared" si="12"/>
        <v>308</v>
      </c>
      <c r="N98" s="350"/>
      <c r="O98" s="398">
        <f>+VLOOKUP(C98,Pop_ISTAT!$A$10:$J$273,10,FALSE)</f>
        <v>12904</v>
      </c>
    </row>
    <row r="99" spans="1:17">
      <c r="A99" s="348">
        <v>81</v>
      </c>
      <c r="B99" s="348" t="s">
        <v>311</v>
      </c>
      <c r="C99" s="348" t="s">
        <v>391</v>
      </c>
      <c r="D99" s="349">
        <v>6042</v>
      </c>
      <c r="E99" s="348">
        <v>7.4999999999999997E-2</v>
      </c>
      <c r="F99" s="381"/>
      <c r="G99" s="350">
        <f t="shared" si="13"/>
        <v>31037.628318584098</v>
      </c>
      <c r="H99" s="384">
        <f t="shared" si="8"/>
        <v>3.7498125093745286E-3</v>
      </c>
      <c r="I99" s="350">
        <f t="shared" si="9"/>
        <v>1506.6439331835086</v>
      </c>
      <c r="J99" s="350">
        <f t="shared" si="10"/>
        <v>376.66098329587714</v>
      </c>
      <c r="K99" s="350">
        <f t="shared" si="11"/>
        <v>1129.9829498876315</v>
      </c>
      <c r="L99" s="350">
        <f t="shared" si="12"/>
        <v>300</v>
      </c>
      <c r="N99" s="350"/>
      <c r="O99" s="398">
        <f>+VLOOKUP(C99,Pop_ISTAT!$A$10:$J$273,10,FALSE)</f>
        <v>13372</v>
      </c>
    </row>
    <row r="100" spans="1:17">
      <c r="A100" s="348">
        <v>82</v>
      </c>
      <c r="B100" s="348" t="s">
        <v>307</v>
      </c>
      <c r="C100" s="348" t="s">
        <v>392</v>
      </c>
      <c r="D100" s="349">
        <v>6040</v>
      </c>
      <c r="E100" s="348">
        <v>7.4999999999999997E-2</v>
      </c>
      <c r="F100" s="381"/>
      <c r="G100" s="350">
        <f t="shared" si="13"/>
        <v>31037.628318584098</v>
      </c>
      <c r="H100" s="384">
        <f t="shared" si="8"/>
        <v>3.7498125093745286E-3</v>
      </c>
      <c r="I100" s="350">
        <f t="shared" si="9"/>
        <v>1506.1452096041694</v>
      </c>
      <c r="J100" s="350">
        <f t="shared" si="10"/>
        <v>376.53630240104235</v>
      </c>
      <c r="K100" s="350">
        <f t="shared" si="11"/>
        <v>1129.608907203127</v>
      </c>
      <c r="L100" s="350">
        <f t="shared" si="12"/>
        <v>300</v>
      </c>
      <c r="N100" s="350"/>
      <c r="O100" s="398">
        <f>+VLOOKUP(C100,Pop_ISTAT!$A$10:$J$273,10,FALSE)</f>
        <v>15119</v>
      </c>
    </row>
    <row r="101" spans="1:17">
      <c r="A101" s="348">
        <v>83</v>
      </c>
      <c r="B101" s="348" t="s">
        <v>311</v>
      </c>
      <c r="C101" s="348" t="s">
        <v>393</v>
      </c>
      <c r="D101" s="349">
        <v>6017</v>
      </c>
      <c r="E101" s="348">
        <v>7.4999999999999997E-2</v>
      </c>
      <c r="F101" s="381"/>
      <c r="G101" s="350">
        <f t="shared" si="13"/>
        <v>31037.628318584098</v>
      </c>
      <c r="H101" s="384">
        <f t="shared" si="8"/>
        <v>3.7498125093745286E-3</v>
      </c>
      <c r="I101" s="350">
        <f t="shared" si="9"/>
        <v>1500.4098884417695</v>
      </c>
      <c r="J101" s="350">
        <f t="shared" si="10"/>
        <v>375.10247211044236</v>
      </c>
      <c r="K101" s="350">
        <f t="shared" si="11"/>
        <v>1125.3074163313272</v>
      </c>
      <c r="L101" s="350">
        <f t="shared" si="12"/>
        <v>300</v>
      </c>
      <c r="N101" s="350"/>
      <c r="O101" s="398">
        <f>+VLOOKUP(C101,Pop_ISTAT!$A$10:$J$273,10,FALSE)</f>
        <v>9268</v>
      </c>
    </row>
    <row r="102" spans="1:17">
      <c r="A102" s="348">
        <v>84</v>
      </c>
      <c r="B102" s="348" t="s">
        <v>311</v>
      </c>
      <c r="C102" s="348" t="s">
        <v>394</v>
      </c>
      <c r="D102" s="349">
        <v>5997</v>
      </c>
      <c r="E102" s="348">
        <v>7.4999999999999997E-2</v>
      </c>
      <c r="F102" s="381"/>
      <c r="G102" s="350">
        <f t="shared" si="13"/>
        <v>31037.628318584098</v>
      </c>
      <c r="H102" s="384">
        <f t="shared" si="8"/>
        <v>3.7498125093745286E-3</v>
      </c>
      <c r="I102" s="350">
        <f t="shared" si="9"/>
        <v>1495.4226526483781</v>
      </c>
      <c r="J102" s="350">
        <f t="shared" si="10"/>
        <v>373.85566316209452</v>
      </c>
      <c r="K102" s="350">
        <f t="shared" si="11"/>
        <v>1121.5669894862835</v>
      </c>
      <c r="L102" s="350">
        <f t="shared" si="12"/>
        <v>300</v>
      </c>
      <c r="N102" s="350"/>
      <c r="O102" s="398">
        <f>+VLOOKUP(C102,Pop_ISTAT!$A$10:$J$273,10,FALSE)</f>
        <v>6563</v>
      </c>
    </row>
    <row r="103" spans="1:17">
      <c r="A103" s="348">
        <v>85</v>
      </c>
      <c r="B103" s="348" t="s">
        <v>311</v>
      </c>
      <c r="C103" s="348" t="s">
        <v>395</v>
      </c>
      <c r="D103" s="349">
        <v>5977</v>
      </c>
      <c r="E103" s="348">
        <v>7.4999999999999997E-2</v>
      </c>
      <c r="F103" s="381"/>
      <c r="G103" s="350">
        <f t="shared" si="13"/>
        <v>31037.628318584098</v>
      </c>
      <c r="H103" s="384">
        <f t="shared" si="8"/>
        <v>3.7498125093745286E-3</v>
      </c>
      <c r="I103" s="350">
        <f t="shared" si="9"/>
        <v>1490.4354168549867</v>
      </c>
      <c r="J103" s="350">
        <f t="shared" si="10"/>
        <v>372.60885421374667</v>
      </c>
      <c r="K103" s="350">
        <f t="shared" si="11"/>
        <v>1117.8265626412399</v>
      </c>
      <c r="L103" s="350">
        <f t="shared" si="12"/>
        <v>300</v>
      </c>
      <c r="N103" s="350"/>
      <c r="O103" s="398">
        <f>+VLOOKUP(C103,Pop_ISTAT!$A$10:$J$273,10,FALSE)</f>
        <v>13259</v>
      </c>
    </row>
    <row r="104" spans="1:17">
      <c r="A104" s="348">
        <v>86</v>
      </c>
      <c r="B104" s="348" t="s">
        <v>311</v>
      </c>
      <c r="C104" s="348" t="s">
        <v>396</v>
      </c>
      <c r="D104" s="349">
        <v>5973</v>
      </c>
      <c r="E104" s="348">
        <v>7.3999999999999996E-2</v>
      </c>
      <c r="F104" s="381"/>
      <c r="G104" s="350">
        <f t="shared" si="13"/>
        <v>30623.793274336309</v>
      </c>
      <c r="H104" s="384">
        <f t="shared" si="8"/>
        <v>3.6998150092495347E-3</v>
      </c>
      <c r="I104" s="350">
        <f t="shared" si="9"/>
        <v>1489.4379696963085</v>
      </c>
      <c r="J104" s="350">
        <f t="shared" si="10"/>
        <v>372.35949242407713</v>
      </c>
      <c r="K104" s="350">
        <f t="shared" si="11"/>
        <v>1117.0784772722313</v>
      </c>
      <c r="L104" s="350">
        <f t="shared" si="12"/>
        <v>296</v>
      </c>
      <c r="N104" s="350"/>
      <c r="O104" s="398">
        <f>+VLOOKUP(C104,Pop_ISTAT!$A$10:$J$273,10,FALSE)</f>
        <v>4543</v>
      </c>
    </row>
    <row r="105" spans="1:17">
      <c r="A105" s="348">
        <v>87</v>
      </c>
      <c r="B105" s="348" t="s">
        <v>311</v>
      </c>
      <c r="C105" s="348" t="s">
        <v>397</v>
      </c>
      <c r="D105" s="349">
        <v>5950</v>
      </c>
      <c r="E105" s="348">
        <v>7.3999999999999996E-2</v>
      </c>
      <c r="F105" s="381"/>
      <c r="G105" s="350">
        <f t="shared" si="13"/>
        <v>30623.793274336309</v>
      </c>
      <c r="H105" s="384">
        <f t="shared" si="8"/>
        <v>3.6998150092495347E-3</v>
      </c>
      <c r="I105" s="350">
        <f t="shared" si="9"/>
        <v>1483.7026485339086</v>
      </c>
      <c r="J105" s="350">
        <f t="shared" si="10"/>
        <v>370.92566213347715</v>
      </c>
      <c r="K105" s="350">
        <f t="shared" si="11"/>
        <v>1112.7769864004315</v>
      </c>
      <c r="L105" s="350">
        <f t="shared" si="12"/>
        <v>296</v>
      </c>
      <c r="N105" s="350"/>
      <c r="O105" s="398">
        <f>+VLOOKUP(C105,Pop_ISTAT!$A$10:$J$273,10,FALSE)</f>
        <v>13721</v>
      </c>
    </row>
    <row r="106" spans="1:17">
      <c r="A106" s="348">
        <v>88</v>
      </c>
      <c r="B106" s="348" t="s">
        <v>315</v>
      </c>
      <c r="C106" s="348" t="s">
        <v>398</v>
      </c>
      <c r="D106" s="349">
        <v>5909</v>
      </c>
      <c r="E106" s="348">
        <v>7.3999999999999996E-2</v>
      </c>
      <c r="F106" s="381"/>
      <c r="G106" s="350">
        <f t="shared" si="13"/>
        <v>30623.793274336309</v>
      </c>
      <c r="H106" s="384">
        <f t="shared" si="8"/>
        <v>3.6998150092495347E-3</v>
      </c>
      <c r="I106" s="350">
        <f t="shared" si="9"/>
        <v>1473.4788151574564</v>
      </c>
      <c r="J106" s="350">
        <f t="shared" si="10"/>
        <v>368.36970378936411</v>
      </c>
      <c r="K106" s="350">
        <f t="shared" si="11"/>
        <v>1105.1091113680923</v>
      </c>
      <c r="L106" s="350">
        <f t="shared" si="12"/>
        <v>296</v>
      </c>
      <c r="N106" s="350"/>
      <c r="O106" s="398">
        <f>+VLOOKUP(C106,Pop_ISTAT!$A$10:$J$273,10,FALSE)</f>
        <v>5298</v>
      </c>
    </row>
    <row r="107" spans="1:17">
      <c r="A107" s="348">
        <v>89</v>
      </c>
      <c r="B107" s="348" t="s">
        <v>311</v>
      </c>
      <c r="C107" s="348" t="s">
        <v>399</v>
      </c>
      <c r="D107" s="349">
        <v>5894</v>
      </c>
      <c r="E107" s="348">
        <v>7.2999999999999995E-2</v>
      </c>
      <c r="F107" s="381"/>
      <c r="G107" s="350">
        <f t="shared" si="13"/>
        <v>30209.958230088523</v>
      </c>
      <c r="H107" s="384">
        <f t="shared" si="8"/>
        <v>3.6498175091245412E-3</v>
      </c>
      <c r="I107" s="350">
        <f t="shared" si="9"/>
        <v>1469.738388312413</v>
      </c>
      <c r="J107" s="350">
        <f t="shared" si="10"/>
        <v>367.43459707810325</v>
      </c>
      <c r="K107" s="350">
        <f t="shared" si="11"/>
        <v>1102.3037912343098</v>
      </c>
      <c r="L107" s="350">
        <f t="shared" si="12"/>
        <v>291.99999999999994</v>
      </c>
      <c r="N107" s="350"/>
      <c r="O107" s="398">
        <f>+VLOOKUP(C107,Pop_ISTAT!$A$10:$J$273,10,FALSE)</f>
        <v>10782</v>
      </c>
    </row>
    <row r="108" spans="1:17">
      <c r="A108" s="348">
        <v>90</v>
      </c>
      <c r="B108" s="348" t="s">
        <v>311</v>
      </c>
      <c r="C108" s="348" t="s">
        <v>400</v>
      </c>
      <c r="D108" s="349">
        <v>5820</v>
      </c>
      <c r="E108" s="348">
        <v>7.2999999999999995E-2</v>
      </c>
      <c r="F108" s="381"/>
      <c r="G108" s="350">
        <f t="shared" si="13"/>
        <v>30209.958230088523</v>
      </c>
      <c r="H108" s="384">
        <f t="shared" si="8"/>
        <v>3.6498175091245412E-3</v>
      </c>
      <c r="I108" s="350">
        <f t="shared" si="9"/>
        <v>1451.2856158768652</v>
      </c>
      <c r="J108" s="350">
        <f t="shared" si="10"/>
        <v>362.82140396921631</v>
      </c>
      <c r="K108" s="350">
        <f t="shared" si="11"/>
        <v>1088.4642119076489</v>
      </c>
      <c r="L108" s="350">
        <f t="shared" si="12"/>
        <v>291.99999999999994</v>
      </c>
      <c r="N108" s="350"/>
      <c r="O108" s="398">
        <f>+VLOOKUP(C108,Pop_ISTAT!$A$10:$J$273,10,FALSE)</f>
        <v>5082</v>
      </c>
    </row>
    <row r="109" spans="1:17">
      <c r="A109" s="348">
        <v>91</v>
      </c>
      <c r="B109" s="348" t="s">
        <v>311</v>
      </c>
      <c r="C109" s="348" t="s">
        <v>401</v>
      </c>
      <c r="D109" s="349">
        <v>5734</v>
      </c>
      <c r="E109" s="348">
        <v>7.0999999999999994E-2</v>
      </c>
      <c r="F109" s="381"/>
      <c r="G109" s="350">
        <f t="shared" si="13"/>
        <v>29382.288141592944</v>
      </c>
      <c r="H109" s="384">
        <f t="shared" si="8"/>
        <v>3.5498225088745534E-3</v>
      </c>
      <c r="I109" s="350">
        <f t="shared" si="9"/>
        <v>1429.8405019652826</v>
      </c>
      <c r="J109" s="350">
        <f t="shared" si="10"/>
        <v>357.46012549132064</v>
      </c>
      <c r="K109" s="350">
        <f t="shared" si="11"/>
        <v>1072.3803764739619</v>
      </c>
      <c r="L109" s="350">
        <f t="shared" si="12"/>
        <v>283.99999999999994</v>
      </c>
      <c r="N109" s="350"/>
      <c r="O109" s="398">
        <f>+VLOOKUP(C109,Pop_ISTAT!$A$10:$J$273,10,FALSE)</f>
        <v>11376</v>
      </c>
    </row>
    <row r="110" spans="1:17">
      <c r="A110" s="348">
        <v>92</v>
      </c>
      <c r="B110" s="348" t="s">
        <v>307</v>
      </c>
      <c r="C110" s="348" t="s">
        <v>402</v>
      </c>
      <c r="D110" s="349">
        <v>5727</v>
      </c>
      <c r="E110" s="348">
        <v>7.0999999999999994E-2</v>
      </c>
      <c r="F110" s="381"/>
      <c r="G110" s="350">
        <f t="shared" si="13"/>
        <v>29382.288141592944</v>
      </c>
      <c r="H110" s="384">
        <f t="shared" si="8"/>
        <v>3.5498225088745534E-3</v>
      </c>
      <c r="I110" s="350">
        <f t="shared" si="9"/>
        <v>1428.0949694375956</v>
      </c>
      <c r="J110" s="350">
        <f t="shared" si="10"/>
        <v>357.02374235939891</v>
      </c>
      <c r="K110" s="350">
        <f t="shared" si="11"/>
        <v>1071.0712270781967</v>
      </c>
      <c r="L110" s="350">
        <f t="shared" si="12"/>
        <v>283.99999999999994</v>
      </c>
      <c r="N110" s="350"/>
      <c r="O110" s="398">
        <f>+VLOOKUP(C110,Pop_ISTAT!$A$10:$J$273,10,FALSE)</f>
        <v>6148</v>
      </c>
    </row>
    <row r="111" spans="1:17">
      <c r="A111" s="348">
        <v>93</v>
      </c>
      <c r="B111" s="348" t="s">
        <v>306</v>
      </c>
      <c r="C111" s="348" t="s">
        <v>403</v>
      </c>
      <c r="D111" s="349">
        <v>5673</v>
      </c>
      <c r="E111" s="348">
        <v>7.0999999999999994E-2</v>
      </c>
      <c r="F111" s="381"/>
      <c r="G111" s="350">
        <f t="shared" si="13"/>
        <v>29382.288141592944</v>
      </c>
      <c r="H111" s="384">
        <f t="shared" si="8"/>
        <v>3.5498225088745534E-3</v>
      </c>
      <c r="I111" s="350">
        <f t="shared" si="9"/>
        <v>1414.6294327954392</v>
      </c>
      <c r="J111" s="350">
        <f t="shared" si="10"/>
        <v>353.65735819885981</v>
      </c>
      <c r="K111" s="350">
        <f t="shared" si="11"/>
        <v>1060.9720745965794</v>
      </c>
      <c r="L111" s="350">
        <f t="shared" si="12"/>
        <v>283.99999999999994</v>
      </c>
      <c r="N111" s="350"/>
      <c r="O111" s="398">
        <f>+VLOOKUP(C111,Pop_ISTAT!$A$10:$J$273,10,FALSE)</f>
        <v>19667</v>
      </c>
    </row>
    <row r="112" spans="1:17">
      <c r="A112" s="348">
        <v>94</v>
      </c>
      <c r="B112" s="348" t="s">
        <v>306</v>
      </c>
      <c r="C112" s="348" t="s">
        <v>404</v>
      </c>
      <c r="D112" s="349">
        <v>5627</v>
      </c>
      <c r="E112" s="348">
        <v>7.0000000000000007E-2</v>
      </c>
      <c r="F112" s="381"/>
      <c r="G112" s="350">
        <f t="shared" si="13"/>
        <v>28968.453097345158</v>
      </c>
      <c r="H112" s="384">
        <f t="shared" si="8"/>
        <v>3.4998250087495599E-3</v>
      </c>
      <c r="I112" s="350">
        <f t="shared" si="9"/>
        <v>1403.1587904706391</v>
      </c>
      <c r="J112" s="350">
        <f t="shared" si="10"/>
        <v>350.78969761765978</v>
      </c>
      <c r="K112" s="350">
        <f t="shared" si="11"/>
        <v>1052.3690928529793</v>
      </c>
      <c r="L112" s="350">
        <f t="shared" si="12"/>
        <v>280.00000000000006</v>
      </c>
      <c r="N112" s="350"/>
      <c r="O112" s="398">
        <f>+VLOOKUP(C112,Pop_ISTAT!$A$10:$J$273,10,FALSE)</f>
        <v>10110</v>
      </c>
    </row>
    <row r="113" spans="1:17">
      <c r="A113" s="348">
        <v>95</v>
      </c>
      <c r="B113" s="348" t="s">
        <v>309</v>
      </c>
      <c r="C113" s="348" t="s">
        <v>405</v>
      </c>
      <c r="D113" s="349">
        <v>5625</v>
      </c>
      <c r="E113" s="348">
        <v>7.0000000000000007E-2</v>
      </c>
      <c r="F113" s="381"/>
      <c r="G113" s="350">
        <f t="shared" si="13"/>
        <v>28968.453097345158</v>
      </c>
      <c r="H113" s="384">
        <f t="shared" si="8"/>
        <v>3.4998250087495599E-3</v>
      </c>
      <c r="I113" s="350">
        <f t="shared" si="9"/>
        <v>1402.6600668913002</v>
      </c>
      <c r="J113" s="350">
        <f t="shared" si="10"/>
        <v>350.66501672282504</v>
      </c>
      <c r="K113" s="350">
        <f t="shared" si="11"/>
        <v>1051.9950501684752</v>
      </c>
      <c r="L113" s="350">
        <f t="shared" si="12"/>
        <v>280.00000000000006</v>
      </c>
      <c r="N113" s="350"/>
      <c r="O113" s="398">
        <f>+VLOOKUP(C113,Pop_ISTAT!$A$10:$J$273,10,FALSE)</f>
        <v>11000</v>
      </c>
    </row>
    <row r="114" spans="1:17">
      <c r="A114" s="348">
        <v>96</v>
      </c>
      <c r="B114" s="348" t="s">
        <v>307</v>
      </c>
      <c r="C114" s="348" t="s">
        <v>406</v>
      </c>
      <c r="D114" s="349">
        <v>5593</v>
      </c>
      <c r="E114" s="348">
        <v>7.0000000000000007E-2</v>
      </c>
      <c r="F114" s="381"/>
      <c r="G114" s="350">
        <f t="shared" si="13"/>
        <v>28968.453097345158</v>
      </c>
      <c r="H114" s="384">
        <f t="shared" si="8"/>
        <v>3.4998250087495599E-3</v>
      </c>
      <c r="I114" s="350">
        <f t="shared" si="9"/>
        <v>1394.6804896218741</v>
      </c>
      <c r="J114" s="350">
        <f t="shared" si="10"/>
        <v>348.67012240546853</v>
      </c>
      <c r="K114" s="350">
        <f t="shared" si="11"/>
        <v>1046.0103672164055</v>
      </c>
      <c r="L114" s="350">
        <f t="shared" si="12"/>
        <v>280.00000000000006</v>
      </c>
      <c r="N114" s="350"/>
      <c r="O114" s="398">
        <f>+VLOOKUP(C114,Pop_ISTAT!$A$10:$J$273,10,FALSE)</f>
        <v>5210</v>
      </c>
    </row>
    <row r="115" spans="1:17">
      <c r="A115" s="348">
        <v>97</v>
      </c>
      <c r="B115" s="348" t="s">
        <v>311</v>
      </c>
      <c r="C115" s="348" t="s">
        <v>407</v>
      </c>
      <c r="D115" s="349">
        <v>5566</v>
      </c>
      <c r="E115" s="348">
        <v>6.9000000000000006E-2</v>
      </c>
      <c r="F115" s="381"/>
      <c r="G115" s="350">
        <f t="shared" si="13"/>
        <v>28554.618053097372</v>
      </c>
      <c r="H115" s="384">
        <f t="shared" si="8"/>
        <v>3.4498275086245664E-3</v>
      </c>
      <c r="I115" s="350">
        <f t="shared" si="9"/>
        <v>1387.9477213007958</v>
      </c>
      <c r="J115" s="350">
        <f t="shared" si="10"/>
        <v>346.98693032519895</v>
      </c>
      <c r="K115" s="350">
        <f t="shared" si="11"/>
        <v>1040.9607909755969</v>
      </c>
      <c r="L115" s="350">
        <f t="shared" si="12"/>
        <v>276.00000000000006</v>
      </c>
      <c r="N115" s="350"/>
      <c r="O115" s="398">
        <f>+VLOOKUP(C115,Pop_ISTAT!$A$10:$J$273,10,FALSE)</f>
        <v>14520</v>
      </c>
    </row>
    <row r="116" spans="1:17">
      <c r="A116" s="348">
        <v>98</v>
      </c>
      <c r="B116" s="348" t="s">
        <v>306</v>
      </c>
      <c r="C116" s="348" t="s">
        <v>408</v>
      </c>
      <c r="D116" s="349">
        <v>5559</v>
      </c>
      <c r="E116" s="348">
        <v>6.9000000000000006E-2</v>
      </c>
      <c r="F116" s="381"/>
      <c r="G116" s="350">
        <f t="shared" si="13"/>
        <v>28554.618053097372</v>
      </c>
      <c r="H116" s="384">
        <f t="shared" si="8"/>
        <v>3.4498275086245664E-3</v>
      </c>
      <c r="I116" s="350">
        <f t="shared" si="9"/>
        <v>1386.2021887731089</v>
      </c>
      <c r="J116" s="350">
        <f t="shared" si="10"/>
        <v>346.55054719327723</v>
      </c>
      <c r="K116" s="350">
        <f t="shared" si="11"/>
        <v>1039.6516415798317</v>
      </c>
      <c r="L116" s="350">
        <f t="shared" si="12"/>
        <v>276.00000000000006</v>
      </c>
      <c r="N116" s="350"/>
      <c r="O116" s="398">
        <f>+VLOOKUP(C116,Pop_ISTAT!$A$10:$J$273,10,FALSE)</f>
        <v>19188</v>
      </c>
    </row>
    <row r="117" spans="1:17">
      <c r="A117" s="373">
        <v>99</v>
      </c>
      <c r="B117" s="373" t="s">
        <v>309</v>
      </c>
      <c r="C117" s="373" t="s">
        <v>409</v>
      </c>
      <c r="D117" s="403">
        <v>5511</v>
      </c>
      <c r="E117" s="373">
        <v>6.9000000000000006E-2</v>
      </c>
      <c r="F117" s="404"/>
      <c r="G117" s="389">
        <f t="shared" si="13"/>
        <v>28554.618053097372</v>
      </c>
      <c r="H117" s="405">
        <f t="shared" si="8"/>
        <v>3.4498275086245664E-3</v>
      </c>
      <c r="I117" s="389">
        <f t="shared" si="9"/>
        <v>1374.2328228689698</v>
      </c>
      <c r="J117" s="389">
        <f t="shared" si="10"/>
        <v>343.55820571724246</v>
      </c>
      <c r="K117" s="389">
        <f t="shared" si="11"/>
        <v>1030.6746171517275</v>
      </c>
      <c r="L117" s="389">
        <f t="shared" si="12"/>
        <v>276.00000000000006</v>
      </c>
      <c r="M117" s="390" t="s">
        <v>623</v>
      </c>
      <c r="N117" s="389">
        <v>10000</v>
      </c>
      <c r="O117" s="406">
        <f>+VLOOKUP(C117,Pop_ISTAT!$A$10:$J$273,10,FALSE)</f>
        <v>12335</v>
      </c>
      <c r="P117" s="407">
        <f>+O117</f>
        <v>12335</v>
      </c>
      <c r="Q117" s="390"/>
    </row>
    <row r="118" spans="1:17">
      <c r="A118" s="348">
        <v>100</v>
      </c>
      <c r="B118" s="348" t="s">
        <v>307</v>
      </c>
      <c r="C118" s="348" t="s">
        <v>410</v>
      </c>
      <c r="D118" s="349">
        <v>5467</v>
      </c>
      <c r="E118" s="348">
        <v>6.8000000000000005E-2</v>
      </c>
      <c r="F118" s="381"/>
      <c r="G118" s="350">
        <f t="shared" si="13"/>
        <v>28140.783008849587</v>
      </c>
      <c r="H118" s="384">
        <f t="shared" si="8"/>
        <v>3.399830008499573E-3</v>
      </c>
      <c r="I118" s="350">
        <f t="shared" si="9"/>
        <v>1363.2609041235089</v>
      </c>
      <c r="J118" s="350">
        <f t="shared" si="10"/>
        <v>340.81522603087723</v>
      </c>
      <c r="K118" s="350">
        <f t="shared" si="11"/>
        <v>1022.4456780926316</v>
      </c>
      <c r="L118" s="350">
        <f t="shared" si="12"/>
        <v>272.00000000000006</v>
      </c>
      <c r="N118" s="350"/>
      <c r="O118" s="398">
        <f>+VLOOKUP(C118,Pop_ISTAT!$A$10:$J$273,10,FALSE)</f>
        <v>11174</v>
      </c>
    </row>
    <row r="119" spans="1:17">
      <c r="A119" s="348">
        <v>101</v>
      </c>
      <c r="B119" s="348" t="s">
        <v>309</v>
      </c>
      <c r="C119" s="348" t="s">
        <v>411</v>
      </c>
      <c r="D119" s="349">
        <v>5427</v>
      </c>
      <c r="E119" s="348">
        <v>6.8000000000000005E-2</v>
      </c>
      <c r="F119" s="381"/>
      <c r="G119" s="350">
        <f t="shared" si="13"/>
        <v>28140.783008849587</v>
      </c>
      <c r="H119" s="384">
        <f t="shared" si="8"/>
        <v>3.399830008499573E-3</v>
      </c>
      <c r="I119" s="350">
        <f t="shared" si="9"/>
        <v>1353.2864325367264</v>
      </c>
      <c r="J119" s="350">
        <f t="shared" si="10"/>
        <v>338.32160813418159</v>
      </c>
      <c r="K119" s="350">
        <f t="shared" si="11"/>
        <v>1014.9648244025448</v>
      </c>
      <c r="L119" s="350">
        <f t="shared" si="12"/>
        <v>272.00000000000006</v>
      </c>
      <c r="N119" s="350"/>
      <c r="O119" s="398">
        <f>+VLOOKUP(C119,Pop_ISTAT!$A$10:$J$273,10,FALSE)</f>
        <v>6233</v>
      </c>
    </row>
    <row r="120" spans="1:17">
      <c r="A120" s="348">
        <v>102</v>
      </c>
      <c r="B120" s="348" t="s">
        <v>315</v>
      </c>
      <c r="C120" s="348" t="s">
        <v>412</v>
      </c>
      <c r="D120" s="349">
        <v>5340</v>
      </c>
      <c r="E120" s="348">
        <v>6.7000000000000004E-2</v>
      </c>
      <c r="F120" s="381"/>
      <c r="G120" s="350">
        <f t="shared" si="13"/>
        <v>27726.947964601797</v>
      </c>
      <c r="H120" s="384">
        <f t="shared" si="8"/>
        <v>3.349832508374579E-3</v>
      </c>
      <c r="I120" s="350">
        <f t="shared" si="9"/>
        <v>1331.5919568354743</v>
      </c>
      <c r="J120" s="350">
        <f t="shared" si="10"/>
        <v>332.89798920886858</v>
      </c>
      <c r="K120" s="350">
        <f t="shared" si="11"/>
        <v>998.69396762660574</v>
      </c>
      <c r="L120" s="350">
        <f t="shared" si="12"/>
        <v>268</v>
      </c>
      <c r="N120" s="350"/>
      <c r="O120" s="398">
        <f>+VLOOKUP(C120,Pop_ISTAT!$A$10:$J$273,10,FALSE)</f>
        <v>8115</v>
      </c>
    </row>
    <row r="121" spans="1:17">
      <c r="A121" s="348">
        <v>103</v>
      </c>
      <c r="B121" s="348" t="s">
        <v>313</v>
      </c>
      <c r="C121" s="348" t="s">
        <v>413</v>
      </c>
      <c r="D121" s="349">
        <v>5339</v>
      </c>
      <c r="E121" s="348">
        <v>6.7000000000000004E-2</v>
      </c>
      <c r="F121" s="381"/>
      <c r="G121" s="350">
        <f t="shared" si="13"/>
        <v>27726.947964601797</v>
      </c>
      <c r="H121" s="384">
        <f t="shared" si="8"/>
        <v>3.349832508374579E-3</v>
      </c>
      <c r="I121" s="350">
        <f t="shared" si="9"/>
        <v>1331.3425950458047</v>
      </c>
      <c r="J121" s="350">
        <f t="shared" si="10"/>
        <v>332.83564876145118</v>
      </c>
      <c r="K121" s="350">
        <f t="shared" si="11"/>
        <v>998.50694628435349</v>
      </c>
      <c r="L121" s="350">
        <f t="shared" si="12"/>
        <v>268</v>
      </c>
      <c r="N121" s="350"/>
      <c r="O121" s="398">
        <f>+VLOOKUP(C121,Pop_ISTAT!$A$10:$J$273,10,FALSE)</f>
        <v>11063</v>
      </c>
    </row>
    <row r="122" spans="1:17">
      <c r="A122" s="348">
        <v>104</v>
      </c>
      <c r="B122" s="348" t="s">
        <v>309</v>
      </c>
      <c r="C122" s="348" t="s">
        <v>414</v>
      </c>
      <c r="D122" s="349">
        <v>5294</v>
      </c>
      <c r="E122" s="348">
        <v>6.6000000000000003E-2</v>
      </c>
      <c r="F122" s="381"/>
      <c r="G122" s="350">
        <f t="shared" si="13"/>
        <v>27313.112920354011</v>
      </c>
      <c r="H122" s="384">
        <f t="shared" si="8"/>
        <v>3.2998350082495856E-3</v>
      </c>
      <c r="I122" s="350">
        <f t="shared" si="9"/>
        <v>1320.1213145106742</v>
      </c>
      <c r="J122" s="350">
        <f t="shared" si="10"/>
        <v>330.03032862766855</v>
      </c>
      <c r="K122" s="350">
        <f t="shared" si="11"/>
        <v>990.09098588300571</v>
      </c>
      <c r="L122" s="350">
        <f t="shared" si="12"/>
        <v>264</v>
      </c>
      <c r="N122" s="350"/>
      <c r="O122" s="398">
        <f>+VLOOKUP(C122,Pop_ISTAT!$A$10:$J$273,10,FALSE)</f>
        <v>7231</v>
      </c>
    </row>
    <row r="123" spans="1:17">
      <c r="A123" s="348">
        <v>105</v>
      </c>
      <c r="B123" s="348" t="s">
        <v>313</v>
      </c>
      <c r="C123" s="348" t="s">
        <v>415</v>
      </c>
      <c r="D123" s="349">
        <v>5287</v>
      </c>
      <c r="E123" s="348">
        <v>6.6000000000000003E-2</v>
      </c>
      <c r="F123" s="381"/>
      <c r="G123" s="350">
        <f t="shared" si="13"/>
        <v>27313.112920354011</v>
      </c>
      <c r="H123" s="384">
        <f t="shared" si="8"/>
        <v>3.2998350082495856E-3</v>
      </c>
      <c r="I123" s="350">
        <f t="shared" si="9"/>
        <v>1318.3757819829873</v>
      </c>
      <c r="J123" s="350">
        <f t="shared" si="10"/>
        <v>329.59394549574682</v>
      </c>
      <c r="K123" s="350">
        <f t="shared" si="11"/>
        <v>988.78183648724053</v>
      </c>
      <c r="L123" s="350">
        <f t="shared" si="12"/>
        <v>264</v>
      </c>
      <c r="N123" s="350"/>
      <c r="O123" s="398">
        <f>+VLOOKUP(C123,Pop_ISTAT!$A$10:$J$273,10,FALSE)</f>
        <v>13910</v>
      </c>
    </row>
    <row r="124" spans="1:17">
      <c r="A124" s="348">
        <v>106</v>
      </c>
      <c r="B124" s="348" t="s">
        <v>311</v>
      </c>
      <c r="C124" s="348" t="s">
        <v>416</v>
      </c>
      <c r="D124" s="349">
        <v>5222</v>
      </c>
      <c r="E124" s="348">
        <v>6.5000000000000002E-2</v>
      </c>
      <c r="F124" s="381"/>
      <c r="G124" s="350">
        <f t="shared" si="13"/>
        <v>26899.277876106218</v>
      </c>
      <c r="H124" s="384">
        <f t="shared" si="8"/>
        <v>3.2498375081245912E-3</v>
      </c>
      <c r="I124" s="350">
        <f t="shared" si="9"/>
        <v>1302.1672656544656</v>
      </c>
      <c r="J124" s="350">
        <f t="shared" si="10"/>
        <v>325.5418164136164</v>
      </c>
      <c r="K124" s="350">
        <f t="shared" si="11"/>
        <v>976.62544924084921</v>
      </c>
      <c r="L124" s="350">
        <f t="shared" si="12"/>
        <v>260</v>
      </c>
      <c r="N124" s="350"/>
      <c r="O124" s="398">
        <f>+VLOOKUP(C124,Pop_ISTAT!$A$10:$J$273,10,FALSE)</f>
        <v>8654</v>
      </c>
    </row>
    <row r="125" spans="1:17">
      <c r="A125" s="348">
        <v>107</v>
      </c>
      <c r="B125" s="348" t="s">
        <v>307</v>
      </c>
      <c r="C125" s="348" t="s">
        <v>417</v>
      </c>
      <c r="D125" s="349">
        <v>5151</v>
      </c>
      <c r="E125" s="348">
        <v>6.4000000000000001E-2</v>
      </c>
      <c r="F125" s="381"/>
      <c r="G125" s="350">
        <f t="shared" si="13"/>
        <v>26485.442831858432</v>
      </c>
      <c r="H125" s="384">
        <f t="shared" si="8"/>
        <v>3.1998400079995977E-3</v>
      </c>
      <c r="I125" s="350">
        <f t="shared" si="9"/>
        <v>1284.4625785879266</v>
      </c>
      <c r="J125" s="350">
        <f t="shared" si="10"/>
        <v>321.11564464698165</v>
      </c>
      <c r="K125" s="350">
        <f t="shared" si="11"/>
        <v>963.34693394094495</v>
      </c>
      <c r="L125" s="350">
        <f t="shared" si="12"/>
        <v>256</v>
      </c>
      <c r="N125" s="350"/>
      <c r="O125" s="398">
        <f>+VLOOKUP(C125,Pop_ISTAT!$A$10:$J$273,10,FALSE)</f>
        <v>15681</v>
      </c>
    </row>
    <row r="126" spans="1:17">
      <c r="A126" s="348">
        <v>108</v>
      </c>
      <c r="B126" s="348" t="s">
        <v>315</v>
      </c>
      <c r="C126" s="348" t="s">
        <v>418</v>
      </c>
      <c r="D126" s="349">
        <v>5148</v>
      </c>
      <c r="E126" s="348">
        <v>6.4000000000000001E-2</v>
      </c>
      <c r="F126" s="381"/>
      <c r="G126" s="350">
        <f t="shared" si="13"/>
        <v>26485.442831858432</v>
      </c>
      <c r="H126" s="384">
        <f t="shared" si="8"/>
        <v>3.1998400079995977E-3</v>
      </c>
      <c r="I126" s="350">
        <f t="shared" si="9"/>
        <v>1283.7144932189178</v>
      </c>
      <c r="J126" s="350">
        <f t="shared" si="10"/>
        <v>320.92862330472946</v>
      </c>
      <c r="K126" s="350">
        <f t="shared" si="11"/>
        <v>962.78586991418842</v>
      </c>
      <c r="L126" s="350">
        <f t="shared" si="12"/>
        <v>256</v>
      </c>
      <c r="N126" s="350"/>
      <c r="O126" s="398">
        <f>+VLOOKUP(C126,Pop_ISTAT!$A$10:$J$273,10,FALSE)</f>
        <v>9027</v>
      </c>
    </row>
    <row r="127" spans="1:17">
      <c r="A127" s="348">
        <v>109</v>
      </c>
      <c r="B127" s="348" t="s">
        <v>311</v>
      </c>
      <c r="C127" s="348" t="s">
        <v>419</v>
      </c>
      <c r="D127" s="349">
        <v>5136</v>
      </c>
      <c r="E127" s="348">
        <v>6.4000000000000001E-2</v>
      </c>
      <c r="F127" s="381"/>
      <c r="G127" s="350">
        <f t="shared" si="13"/>
        <v>26485.442831858432</v>
      </c>
      <c r="H127" s="384">
        <f t="shared" si="8"/>
        <v>3.1998400079995977E-3</v>
      </c>
      <c r="I127" s="350">
        <f t="shared" si="9"/>
        <v>1280.7221517428832</v>
      </c>
      <c r="J127" s="350">
        <f t="shared" si="10"/>
        <v>320.18053793572079</v>
      </c>
      <c r="K127" s="350">
        <f t="shared" si="11"/>
        <v>960.54161380716232</v>
      </c>
      <c r="L127" s="350">
        <f t="shared" si="12"/>
        <v>256</v>
      </c>
      <c r="N127" s="350"/>
      <c r="O127" s="398">
        <f>+VLOOKUP(C127,Pop_ISTAT!$A$10:$J$273,10,FALSE)</f>
        <v>11156</v>
      </c>
    </row>
    <row r="128" spans="1:17">
      <c r="A128" s="348">
        <v>110</v>
      </c>
      <c r="B128" s="348" t="s">
        <v>309</v>
      </c>
      <c r="C128" s="348" t="s">
        <v>420</v>
      </c>
      <c r="D128" s="349">
        <v>5116</v>
      </c>
      <c r="E128" s="348">
        <v>6.4000000000000001E-2</v>
      </c>
      <c r="F128" s="381"/>
      <c r="G128" s="350">
        <f t="shared" si="13"/>
        <v>26485.442831858432</v>
      </c>
      <c r="H128" s="384">
        <f t="shared" si="8"/>
        <v>3.1998400079995977E-3</v>
      </c>
      <c r="I128" s="350">
        <f t="shared" si="9"/>
        <v>1275.7349159494918</v>
      </c>
      <c r="J128" s="350">
        <f t="shared" si="10"/>
        <v>318.93372898737294</v>
      </c>
      <c r="K128" s="350">
        <f t="shared" si="11"/>
        <v>956.80118696211889</v>
      </c>
      <c r="L128" s="350">
        <f t="shared" si="12"/>
        <v>256</v>
      </c>
      <c r="N128" s="350"/>
      <c r="O128" s="398">
        <f>+VLOOKUP(C128,Pop_ISTAT!$A$10:$J$273,10,FALSE)</f>
        <v>16609</v>
      </c>
    </row>
    <row r="129" spans="1:17">
      <c r="A129" s="348">
        <v>111</v>
      </c>
      <c r="B129" s="348" t="s">
        <v>309</v>
      </c>
      <c r="C129" s="348" t="s">
        <v>421</v>
      </c>
      <c r="D129" s="349">
        <v>5100</v>
      </c>
      <c r="E129" s="348">
        <v>6.4000000000000001E-2</v>
      </c>
      <c r="F129" s="381"/>
      <c r="G129" s="350">
        <f t="shared" si="13"/>
        <v>26485.442831858432</v>
      </c>
      <c r="H129" s="384">
        <f t="shared" si="8"/>
        <v>3.1998400079995977E-3</v>
      </c>
      <c r="I129" s="350">
        <f t="shared" si="9"/>
        <v>1271.7451273147788</v>
      </c>
      <c r="J129" s="350">
        <f t="shared" si="10"/>
        <v>317.93628182869469</v>
      </c>
      <c r="K129" s="350">
        <f t="shared" si="11"/>
        <v>953.80884548608401</v>
      </c>
      <c r="L129" s="350">
        <f t="shared" si="12"/>
        <v>256</v>
      </c>
      <c r="N129" s="350"/>
      <c r="O129" s="398">
        <f>+VLOOKUP(C129,Pop_ISTAT!$A$10:$J$273,10,FALSE)</f>
        <v>3323</v>
      </c>
    </row>
    <row r="130" spans="1:17">
      <c r="A130" s="348">
        <v>112</v>
      </c>
      <c r="B130" s="348" t="s">
        <v>306</v>
      </c>
      <c r="C130" s="348" t="s">
        <v>422</v>
      </c>
      <c r="D130" s="349">
        <v>5018</v>
      </c>
      <c r="E130" s="348">
        <v>6.3E-2</v>
      </c>
      <c r="F130" s="381"/>
      <c r="G130" s="350">
        <f t="shared" si="13"/>
        <v>26071.607787610643</v>
      </c>
      <c r="H130" s="384">
        <f t="shared" si="8"/>
        <v>3.1498425078746038E-3</v>
      </c>
      <c r="I130" s="350">
        <f t="shared" si="9"/>
        <v>1251.2974605618745</v>
      </c>
      <c r="J130" s="350">
        <f t="shared" si="10"/>
        <v>312.82436514046861</v>
      </c>
      <c r="K130" s="350">
        <f t="shared" si="11"/>
        <v>938.47309542140579</v>
      </c>
      <c r="L130" s="350">
        <f t="shared" si="12"/>
        <v>252</v>
      </c>
      <c r="N130" s="350"/>
      <c r="O130" s="398">
        <f>+VLOOKUP(C130,Pop_ISTAT!$A$10:$J$273,10,FALSE)</f>
        <v>13833</v>
      </c>
    </row>
    <row r="131" spans="1:17">
      <c r="A131" s="348">
        <v>113</v>
      </c>
      <c r="B131" s="348" t="s">
        <v>311</v>
      </c>
      <c r="C131" s="348" t="s">
        <v>423</v>
      </c>
      <c r="D131" s="349">
        <v>4953</v>
      </c>
      <c r="E131" s="348">
        <v>6.2E-2</v>
      </c>
      <c r="F131" s="381"/>
      <c r="G131" s="350">
        <f t="shared" si="13"/>
        <v>25657.772743362857</v>
      </c>
      <c r="H131" s="384">
        <f t="shared" si="8"/>
        <v>3.0998450077496104E-3</v>
      </c>
      <c r="I131" s="350">
        <f t="shared" si="9"/>
        <v>1235.0889442333528</v>
      </c>
      <c r="J131" s="350">
        <f t="shared" si="10"/>
        <v>308.77223605833819</v>
      </c>
      <c r="K131" s="350">
        <f t="shared" si="11"/>
        <v>926.31670817501458</v>
      </c>
      <c r="L131" s="350">
        <f t="shared" si="12"/>
        <v>248</v>
      </c>
      <c r="N131" s="350"/>
      <c r="O131" s="398">
        <f>+VLOOKUP(C131,Pop_ISTAT!$A$10:$J$273,10,FALSE)</f>
        <v>6491</v>
      </c>
    </row>
    <row r="132" spans="1:17">
      <c r="A132" s="348">
        <v>114</v>
      </c>
      <c r="B132" s="348" t="s">
        <v>311</v>
      </c>
      <c r="C132" s="348" t="s">
        <v>424</v>
      </c>
      <c r="D132" s="349">
        <v>4950</v>
      </c>
      <c r="E132" s="348">
        <v>6.2E-2</v>
      </c>
      <c r="F132" s="381"/>
      <c r="G132" s="350">
        <f t="shared" si="13"/>
        <v>25657.772743362857</v>
      </c>
      <c r="H132" s="384">
        <f t="shared" si="8"/>
        <v>3.0998450077496104E-3</v>
      </c>
      <c r="I132" s="350">
        <f t="shared" si="9"/>
        <v>1234.340858864344</v>
      </c>
      <c r="J132" s="350">
        <f t="shared" si="10"/>
        <v>308.585214716086</v>
      </c>
      <c r="K132" s="350">
        <f t="shared" si="11"/>
        <v>925.75564414825794</v>
      </c>
      <c r="L132" s="350">
        <f t="shared" si="12"/>
        <v>248</v>
      </c>
      <c r="N132" s="350"/>
      <c r="O132" s="398">
        <f>+VLOOKUP(C132,Pop_ISTAT!$A$10:$J$273,10,FALSE)</f>
        <v>9637</v>
      </c>
    </row>
    <row r="133" spans="1:17">
      <c r="A133" s="348">
        <v>115</v>
      </c>
      <c r="B133" s="348" t="s">
        <v>307</v>
      </c>
      <c r="C133" s="348" t="s">
        <v>425</v>
      </c>
      <c r="D133" s="349">
        <v>4914</v>
      </c>
      <c r="E133" s="348">
        <v>6.0999999999999999E-2</v>
      </c>
      <c r="F133" s="381"/>
      <c r="G133" s="350">
        <f t="shared" si="13"/>
        <v>25243.937699115068</v>
      </c>
      <c r="H133" s="384">
        <f t="shared" si="8"/>
        <v>3.0498475076246164E-3</v>
      </c>
      <c r="I133" s="350">
        <f t="shared" si="9"/>
        <v>1225.3638344362398</v>
      </c>
      <c r="J133" s="350">
        <f t="shared" si="10"/>
        <v>306.34095860905995</v>
      </c>
      <c r="K133" s="350">
        <f t="shared" si="11"/>
        <v>919.02287582717986</v>
      </c>
      <c r="L133" s="350">
        <f t="shared" si="12"/>
        <v>244</v>
      </c>
      <c r="N133" s="350"/>
      <c r="O133" s="398">
        <f>+VLOOKUP(C133,Pop_ISTAT!$A$10:$J$273,10,FALSE)</f>
        <v>13969</v>
      </c>
    </row>
    <row r="134" spans="1:17">
      <c r="A134" s="373">
        <v>116</v>
      </c>
      <c r="B134" s="373" t="s">
        <v>313</v>
      </c>
      <c r="C134" s="373" t="s">
        <v>426</v>
      </c>
      <c r="D134" s="403">
        <v>4912</v>
      </c>
      <c r="E134" s="373">
        <v>6.0999999999999999E-2</v>
      </c>
      <c r="F134" s="404"/>
      <c r="G134" s="389">
        <f t="shared" si="13"/>
        <v>25243.937699115068</v>
      </c>
      <c r="H134" s="405">
        <f t="shared" si="8"/>
        <v>3.0498475076246164E-3</v>
      </c>
      <c r="I134" s="389">
        <f t="shared" si="9"/>
        <v>1224.8651108569006</v>
      </c>
      <c r="J134" s="389">
        <f t="shared" si="10"/>
        <v>306.21627771422516</v>
      </c>
      <c r="K134" s="389">
        <f t="shared" si="11"/>
        <v>918.64883314267547</v>
      </c>
      <c r="L134" s="389">
        <f t="shared" si="12"/>
        <v>244</v>
      </c>
      <c r="M134" s="390" t="s">
        <v>623</v>
      </c>
      <c r="N134" s="389">
        <v>10000</v>
      </c>
      <c r="O134" s="406">
        <f>+VLOOKUP(C134,Pop_ISTAT!$A$10:$J$273,10,FALSE)</f>
        <v>7933</v>
      </c>
      <c r="P134" s="407">
        <f>+O134</f>
        <v>7933</v>
      </c>
      <c r="Q134" s="390"/>
    </row>
    <row r="135" spans="1:17">
      <c r="A135" s="348">
        <v>117</v>
      </c>
      <c r="B135" s="348" t="s">
        <v>306</v>
      </c>
      <c r="C135" s="348" t="s">
        <v>427</v>
      </c>
      <c r="D135" s="349">
        <v>4762</v>
      </c>
      <c r="E135" s="348">
        <v>5.8999999999999997E-2</v>
      </c>
      <c r="F135" s="381"/>
      <c r="G135" s="350">
        <f t="shared" si="13"/>
        <v>24416.267610619492</v>
      </c>
      <c r="H135" s="384">
        <f t="shared" si="8"/>
        <v>2.9498525073746291E-3</v>
      </c>
      <c r="I135" s="350">
        <f t="shared" si="9"/>
        <v>1187.4608424064659</v>
      </c>
      <c r="J135" s="350">
        <f t="shared" si="10"/>
        <v>296.86521060161647</v>
      </c>
      <c r="K135" s="350">
        <f t="shared" si="11"/>
        <v>890.5956318048494</v>
      </c>
      <c r="L135" s="350">
        <f t="shared" si="12"/>
        <v>236</v>
      </c>
      <c r="N135" s="350"/>
      <c r="O135" s="398">
        <f>+VLOOKUP(C135,Pop_ISTAT!$A$10:$J$273,10,FALSE)</f>
        <v>25928</v>
      </c>
    </row>
    <row r="136" spans="1:17">
      <c r="A136" s="348">
        <v>118</v>
      </c>
      <c r="B136" s="348" t="s">
        <v>311</v>
      </c>
      <c r="C136" s="348" t="s">
        <v>428</v>
      </c>
      <c r="D136" s="349">
        <v>4752</v>
      </c>
      <c r="E136" s="348">
        <v>5.8999999999999997E-2</v>
      </c>
      <c r="F136" s="381"/>
      <c r="G136" s="350">
        <f t="shared" si="13"/>
        <v>24416.267610619492</v>
      </c>
      <c r="H136" s="384">
        <f t="shared" si="8"/>
        <v>2.9498525073746291E-3</v>
      </c>
      <c r="I136" s="350">
        <f t="shared" si="9"/>
        <v>1184.9672245097704</v>
      </c>
      <c r="J136" s="350">
        <f t="shared" si="10"/>
        <v>296.2418061274426</v>
      </c>
      <c r="K136" s="350">
        <f t="shared" si="11"/>
        <v>888.7254183823278</v>
      </c>
      <c r="L136" s="350">
        <f t="shared" si="12"/>
        <v>236</v>
      </c>
      <c r="N136" s="350"/>
      <c r="O136" s="398">
        <f>+VLOOKUP(C136,Pop_ISTAT!$A$10:$J$273,10,FALSE)</f>
        <v>13036</v>
      </c>
    </row>
    <row r="137" spans="1:17">
      <c r="A137" s="348">
        <v>119</v>
      </c>
      <c r="B137" s="348" t="s">
        <v>311</v>
      </c>
      <c r="C137" s="348" t="s">
        <v>429</v>
      </c>
      <c r="D137" s="349">
        <v>4615</v>
      </c>
      <c r="E137" s="348">
        <v>5.8000000000000003E-2</v>
      </c>
      <c r="F137" s="381"/>
      <c r="G137" s="350">
        <f t="shared" si="13"/>
        <v>24002.432566371706</v>
      </c>
      <c r="H137" s="384">
        <f t="shared" si="8"/>
        <v>2.8998550072496356E-3</v>
      </c>
      <c r="I137" s="350">
        <f t="shared" si="9"/>
        <v>1150.8046593250399</v>
      </c>
      <c r="J137" s="350">
        <f t="shared" si="10"/>
        <v>287.70116483125997</v>
      </c>
      <c r="K137" s="350">
        <f t="shared" si="11"/>
        <v>863.10349449377986</v>
      </c>
      <c r="L137" s="350">
        <f t="shared" si="12"/>
        <v>232</v>
      </c>
      <c r="N137" s="350"/>
      <c r="O137" s="398">
        <f>+VLOOKUP(C137,Pop_ISTAT!$A$10:$J$273,10,FALSE)</f>
        <v>5746</v>
      </c>
    </row>
    <row r="138" spans="1:17">
      <c r="A138" s="348">
        <v>120</v>
      </c>
      <c r="B138" s="348" t="s">
        <v>306</v>
      </c>
      <c r="C138" s="348" t="s">
        <v>430</v>
      </c>
      <c r="D138" s="349">
        <v>4562</v>
      </c>
      <c r="E138" s="348">
        <v>5.7000000000000002E-2</v>
      </c>
      <c r="F138" s="381"/>
      <c r="G138" s="350">
        <f t="shared" si="13"/>
        <v>23588.597522123917</v>
      </c>
      <c r="H138" s="384">
        <f t="shared" si="8"/>
        <v>2.8498575071246417E-3</v>
      </c>
      <c r="I138" s="350">
        <f t="shared" si="9"/>
        <v>1137.5884844725531</v>
      </c>
      <c r="J138" s="350">
        <f t="shared" si="10"/>
        <v>284.39712111813827</v>
      </c>
      <c r="K138" s="350">
        <f t="shared" si="11"/>
        <v>853.19136335441476</v>
      </c>
      <c r="L138" s="350">
        <f t="shared" si="12"/>
        <v>228</v>
      </c>
      <c r="N138" s="350"/>
      <c r="O138" s="398">
        <f>+VLOOKUP(C138,Pop_ISTAT!$A$10:$J$273,10,FALSE)</f>
        <v>7961</v>
      </c>
    </row>
    <row r="139" spans="1:17">
      <c r="A139" s="348">
        <v>121</v>
      </c>
      <c r="B139" s="348" t="s">
        <v>307</v>
      </c>
      <c r="C139" s="348" t="s">
        <v>431</v>
      </c>
      <c r="D139" s="349">
        <v>4554</v>
      </c>
      <c r="E139" s="348">
        <v>5.7000000000000002E-2</v>
      </c>
      <c r="F139" s="381"/>
      <c r="G139" s="350">
        <f t="shared" si="13"/>
        <v>23588.597522123917</v>
      </c>
      <c r="H139" s="384">
        <f t="shared" si="8"/>
        <v>2.8498575071246417E-3</v>
      </c>
      <c r="I139" s="350">
        <f t="shared" si="9"/>
        <v>1135.5935901551966</v>
      </c>
      <c r="J139" s="350">
        <f t="shared" si="10"/>
        <v>283.89839753879914</v>
      </c>
      <c r="K139" s="350">
        <f t="shared" si="11"/>
        <v>851.69519261639743</v>
      </c>
      <c r="L139" s="350">
        <f t="shared" si="12"/>
        <v>228</v>
      </c>
      <c r="N139" s="350"/>
      <c r="O139" s="398">
        <f>+VLOOKUP(C139,Pop_ISTAT!$A$10:$J$273,10,FALSE)</f>
        <v>9476</v>
      </c>
    </row>
    <row r="140" spans="1:17">
      <c r="A140" s="348">
        <v>122</v>
      </c>
      <c r="B140" s="348" t="s">
        <v>315</v>
      </c>
      <c r="C140" s="348" t="s">
        <v>432</v>
      </c>
      <c r="D140" s="349">
        <v>4464</v>
      </c>
      <c r="E140" s="348">
        <v>5.6000000000000001E-2</v>
      </c>
      <c r="F140" s="381"/>
      <c r="G140" s="350">
        <f t="shared" si="13"/>
        <v>23174.762477876127</v>
      </c>
      <c r="H140" s="384">
        <f t="shared" si="8"/>
        <v>2.7998600069996478E-3</v>
      </c>
      <c r="I140" s="350">
        <f t="shared" si="9"/>
        <v>1113.1510290849358</v>
      </c>
      <c r="J140" s="350">
        <f t="shared" si="10"/>
        <v>278.28775727123394</v>
      </c>
      <c r="K140" s="350">
        <f t="shared" si="11"/>
        <v>834.86327181370189</v>
      </c>
      <c r="L140" s="350">
        <f t="shared" si="12"/>
        <v>224</v>
      </c>
      <c r="N140" s="350"/>
      <c r="O140" s="398">
        <f>+VLOOKUP(C140,Pop_ISTAT!$A$10:$J$273,10,FALSE)</f>
        <v>13358</v>
      </c>
    </row>
    <row r="141" spans="1:17">
      <c r="A141" s="348">
        <v>123</v>
      </c>
      <c r="B141" s="348" t="s">
        <v>311</v>
      </c>
      <c r="C141" s="348" t="s">
        <v>433</v>
      </c>
      <c r="D141" s="349">
        <v>4436</v>
      </c>
      <c r="E141" s="348">
        <v>5.5E-2</v>
      </c>
      <c r="F141" s="381"/>
      <c r="G141" s="350">
        <f t="shared" si="13"/>
        <v>22760.927433628338</v>
      </c>
      <c r="H141" s="384">
        <f t="shared" si="8"/>
        <v>2.7498625068746538E-3</v>
      </c>
      <c r="I141" s="350">
        <f t="shared" si="9"/>
        <v>1106.1688989741879</v>
      </c>
      <c r="J141" s="350">
        <f t="shared" si="10"/>
        <v>276.54222474354697</v>
      </c>
      <c r="K141" s="350">
        <f t="shared" si="11"/>
        <v>829.6266742306409</v>
      </c>
      <c r="L141" s="350">
        <f t="shared" si="12"/>
        <v>220</v>
      </c>
      <c r="N141" s="350"/>
      <c r="O141" s="398">
        <f>+VLOOKUP(C141,Pop_ISTAT!$A$10:$J$273,10,FALSE)</f>
        <v>13200</v>
      </c>
    </row>
    <row r="142" spans="1:17">
      <c r="A142" s="348">
        <v>124</v>
      </c>
      <c r="B142" s="348" t="s">
        <v>315</v>
      </c>
      <c r="C142" s="348" t="s">
        <v>434</v>
      </c>
      <c r="D142" s="349">
        <v>4423</v>
      </c>
      <c r="E142" s="348">
        <v>5.5E-2</v>
      </c>
      <c r="F142" s="381"/>
      <c r="G142" s="350">
        <f t="shared" si="13"/>
        <v>22760.927433628338</v>
      </c>
      <c r="H142" s="384">
        <f t="shared" si="8"/>
        <v>2.7498625068746538E-3</v>
      </c>
      <c r="I142" s="350">
        <f t="shared" si="9"/>
        <v>1102.9271957084836</v>
      </c>
      <c r="J142" s="350">
        <f t="shared" si="10"/>
        <v>275.73179892712091</v>
      </c>
      <c r="K142" s="350">
        <f t="shared" si="11"/>
        <v>827.19539678136266</v>
      </c>
      <c r="L142" s="350">
        <f t="shared" si="12"/>
        <v>220</v>
      </c>
      <c r="N142" s="350"/>
      <c r="O142" s="398">
        <f>+VLOOKUP(C142,Pop_ISTAT!$A$10:$J$273,10,FALSE)</f>
        <v>8957</v>
      </c>
    </row>
    <row r="143" spans="1:17">
      <c r="A143" s="348">
        <v>125</v>
      </c>
      <c r="B143" s="348" t="s">
        <v>307</v>
      </c>
      <c r="C143" s="348" t="s">
        <v>435</v>
      </c>
      <c r="D143" s="349">
        <v>4417</v>
      </c>
      <c r="E143" s="348">
        <v>5.5E-2</v>
      </c>
      <c r="F143" s="381"/>
      <c r="G143" s="350">
        <f t="shared" si="13"/>
        <v>22760.927433628338</v>
      </c>
      <c r="H143" s="384">
        <f t="shared" si="8"/>
        <v>2.7498625068746538E-3</v>
      </c>
      <c r="I143" s="350">
        <f t="shared" si="9"/>
        <v>1101.4310249704663</v>
      </c>
      <c r="J143" s="350">
        <f t="shared" si="10"/>
        <v>275.35775624261657</v>
      </c>
      <c r="K143" s="350">
        <f t="shared" si="11"/>
        <v>826.07326872784972</v>
      </c>
      <c r="L143" s="350">
        <f t="shared" si="12"/>
        <v>220</v>
      </c>
      <c r="N143" s="350"/>
      <c r="O143" s="398">
        <f>+VLOOKUP(C143,Pop_ISTAT!$A$10:$J$273,10,FALSE)</f>
        <v>5186</v>
      </c>
    </row>
    <row r="144" spans="1:17">
      <c r="A144" s="348">
        <v>126</v>
      </c>
      <c r="B144" s="348" t="s">
        <v>309</v>
      </c>
      <c r="C144" s="348" t="s">
        <v>436</v>
      </c>
      <c r="D144" s="349">
        <v>4380</v>
      </c>
      <c r="E144" s="348">
        <v>5.5E-2</v>
      </c>
      <c r="F144" s="381"/>
      <c r="G144" s="350">
        <f t="shared" si="13"/>
        <v>22760.927433628338</v>
      </c>
      <c r="H144" s="384">
        <f t="shared" si="8"/>
        <v>2.7498625068746538E-3</v>
      </c>
      <c r="I144" s="350">
        <f t="shared" si="9"/>
        <v>1092.2046387526923</v>
      </c>
      <c r="J144" s="350">
        <f t="shared" si="10"/>
        <v>273.05115968817307</v>
      </c>
      <c r="K144" s="350">
        <f t="shared" si="11"/>
        <v>819.15347906451916</v>
      </c>
      <c r="L144" s="350">
        <f t="shared" si="12"/>
        <v>220</v>
      </c>
      <c r="N144" s="350"/>
      <c r="O144" s="398">
        <f>+VLOOKUP(C144,Pop_ISTAT!$A$10:$J$273,10,FALSE)</f>
        <v>6567</v>
      </c>
    </row>
    <row r="145" spans="1:17">
      <c r="A145" s="348">
        <v>127</v>
      </c>
      <c r="B145" s="348" t="s">
        <v>311</v>
      </c>
      <c r="C145" s="348" t="s">
        <v>437</v>
      </c>
      <c r="D145" s="349">
        <v>4361</v>
      </c>
      <c r="E145" s="348">
        <v>5.3999999999999999E-2</v>
      </c>
      <c r="F145" s="381"/>
      <c r="G145" s="350">
        <f t="shared" si="13"/>
        <v>22347.092389380552</v>
      </c>
      <c r="H145" s="384">
        <f t="shared" si="8"/>
        <v>2.6998650067496608E-3</v>
      </c>
      <c r="I145" s="350">
        <f t="shared" si="9"/>
        <v>1087.4667647489707</v>
      </c>
      <c r="J145" s="350">
        <f t="shared" si="10"/>
        <v>271.86669118724268</v>
      </c>
      <c r="K145" s="350">
        <f t="shared" si="11"/>
        <v>815.6000735617281</v>
      </c>
      <c r="L145" s="350">
        <f t="shared" si="12"/>
        <v>216</v>
      </c>
      <c r="N145" s="350"/>
      <c r="O145" s="398">
        <f>+VLOOKUP(C145,Pop_ISTAT!$A$10:$J$273,10,FALSE)</f>
        <v>4429</v>
      </c>
    </row>
    <row r="146" spans="1:17">
      <c r="A146" s="348">
        <v>128</v>
      </c>
      <c r="B146" s="348" t="s">
        <v>311</v>
      </c>
      <c r="C146" s="348" t="s">
        <v>438</v>
      </c>
      <c r="D146" s="349">
        <v>4357</v>
      </c>
      <c r="E146" s="348">
        <v>5.3999999999999999E-2</v>
      </c>
      <c r="F146" s="381"/>
      <c r="G146" s="350">
        <f t="shared" si="13"/>
        <v>22347.092389380552</v>
      </c>
      <c r="H146" s="384">
        <f t="shared" si="8"/>
        <v>2.6998650067496608E-3</v>
      </c>
      <c r="I146" s="350">
        <f t="shared" si="9"/>
        <v>1086.4693175902923</v>
      </c>
      <c r="J146" s="350">
        <f t="shared" si="10"/>
        <v>271.61732939757309</v>
      </c>
      <c r="K146" s="350">
        <f t="shared" si="11"/>
        <v>814.85198819271932</v>
      </c>
      <c r="L146" s="350">
        <f t="shared" si="12"/>
        <v>216</v>
      </c>
      <c r="N146" s="350"/>
      <c r="O146" s="398">
        <f>+VLOOKUP(C146,Pop_ISTAT!$A$10:$J$273,10,FALSE)</f>
        <v>8824</v>
      </c>
    </row>
    <row r="147" spans="1:17">
      <c r="A147" s="348">
        <v>129</v>
      </c>
      <c r="B147" s="348" t="s">
        <v>311</v>
      </c>
      <c r="C147" s="348" t="s">
        <v>439</v>
      </c>
      <c r="D147" s="349">
        <v>4347</v>
      </c>
      <c r="E147" s="348">
        <v>5.3999999999999999E-2</v>
      </c>
      <c r="F147" s="381"/>
      <c r="G147" s="350">
        <f t="shared" si="13"/>
        <v>22347.092389380552</v>
      </c>
      <c r="H147" s="384">
        <f t="shared" si="8"/>
        <v>2.6998650067496608E-3</v>
      </c>
      <c r="I147" s="350">
        <f t="shared" si="9"/>
        <v>1083.9756996935967</v>
      </c>
      <c r="J147" s="350">
        <f t="shared" si="10"/>
        <v>270.99392492339916</v>
      </c>
      <c r="K147" s="350">
        <f t="shared" si="11"/>
        <v>812.98177477019749</v>
      </c>
      <c r="L147" s="350">
        <f t="shared" si="12"/>
        <v>216</v>
      </c>
      <c r="N147" s="350"/>
      <c r="O147" s="398">
        <f>+VLOOKUP(C147,Pop_ISTAT!$A$10:$J$273,10,FALSE)</f>
        <v>5981</v>
      </c>
    </row>
    <row r="148" spans="1:17">
      <c r="A148" s="348">
        <v>130</v>
      </c>
      <c r="B148" s="348" t="s">
        <v>306</v>
      </c>
      <c r="C148" s="348" t="s">
        <v>440</v>
      </c>
      <c r="D148" s="349">
        <v>4341</v>
      </c>
      <c r="E148" s="348">
        <v>5.3999999999999999E-2</v>
      </c>
      <c r="F148" s="381"/>
      <c r="G148" s="350">
        <f t="shared" si="13"/>
        <v>22347.092389380552</v>
      </c>
      <c r="H148" s="384">
        <f t="shared" ref="H148:H211" si="14">+G148/$G$14</f>
        <v>2.6998650067496608E-3</v>
      </c>
      <c r="I148" s="350">
        <f t="shared" ref="I148:I211" si="15">+$D$10/$D$14*D148</f>
        <v>1082.4795289555793</v>
      </c>
      <c r="J148" s="350">
        <f t="shared" ref="J148:J211" si="16">+I148*25%</f>
        <v>270.61988223889483</v>
      </c>
      <c r="K148" s="350">
        <f t="shared" ref="K148:K211" si="17">+I148-J148</f>
        <v>811.85964671668444</v>
      </c>
      <c r="L148" s="350">
        <f t="shared" ref="L148:L211" si="18">+$D$10*$E148/100</f>
        <v>216</v>
      </c>
      <c r="N148" s="350"/>
      <c r="O148" s="398">
        <f>+VLOOKUP(C148,Pop_ISTAT!$A$10:$J$273,10,FALSE)</f>
        <v>25754</v>
      </c>
    </row>
    <row r="149" spans="1:17">
      <c r="A149" s="348">
        <v>131</v>
      </c>
      <c r="B149" s="348" t="s">
        <v>309</v>
      </c>
      <c r="C149" s="348" t="s">
        <v>441</v>
      </c>
      <c r="D149" s="349">
        <v>4216</v>
      </c>
      <c r="E149" s="348">
        <v>5.2999999999999999E-2</v>
      </c>
      <c r="F149" s="381"/>
      <c r="G149" s="350">
        <f t="shared" ref="G149:G212" si="19">+$D$6*E149/$E$14</f>
        <v>21933.257345132763</v>
      </c>
      <c r="H149" s="384">
        <f t="shared" si="14"/>
        <v>2.6498675066246669E-3</v>
      </c>
      <c r="I149" s="350">
        <f t="shared" si="15"/>
        <v>1051.3093052468837</v>
      </c>
      <c r="J149" s="350">
        <f t="shared" si="16"/>
        <v>262.82732631172092</v>
      </c>
      <c r="K149" s="350">
        <f t="shared" si="17"/>
        <v>788.48197893516272</v>
      </c>
      <c r="L149" s="350">
        <f t="shared" si="18"/>
        <v>212</v>
      </c>
      <c r="N149" s="350"/>
      <c r="O149" s="398">
        <f>+VLOOKUP(C149,Pop_ISTAT!$A$10:$J$273,10,FALSE)</f>
        <v>1751</v>
      </c>
    </row>
    <row r="150" spans="1:17">
      <c r="A150" s="378">
        <v>132</v>
      </c>
      <c r="B150" s="378" t="s">
        <v>306</v>
      </c>
      <c r="C150" s="378" t="s">
        <v>442</v>
      </c>
      <c r="D150" s="379">
        <v>4200</v>
      </c>
      <c r="E150" s="378">
        <v>5.1999999999999998E-2</v>
      </c>
      <c r="F150" s="382" t="s">
        <v>619</v>
      </c>
      <c r="G150" s="380">
        <f t="shared" si="19"/>
        <v>21519.422300884973</v>
      </c>
      <c r="H150" s="385">
        <f t="shared" si="14"/>
        <v>2.599870006499673E-3</v>
      </c>
      <c r="I150" s="380">
        <f t="shared" si="15"/>
        <v>1047.3195166121707</v>
      </c>
      <c r="J150" s="380">
        <f t="shared" si="16"/>
        <v>261.82987915304267</v>
      </c>
      <c r="K150" s="380">
        <f t="shared" si="17"/>
        <v>785.48963745912806</v>
      </c>
      <c r="L150" s="380">
        <f t="shared" si="18"/>
        <v>208</v>
      </c>
      <c r="M150" s="400"/>
      <c r="N150" s="380"/>
      <c r="O150" s="401">
        <f>+VLOOKUP(C150,Pop_ISTAT!$A$10:$J$273,10,FALSE)</f>
        <v>12040</v>
      </c>
      <c r="P150" s="400"/>
      <c r="Q150" s="402">
        <f>+O150</f>
        <v>12040</v>
      </c>
    </row>
    <row r="151" spans="1:17">
      <c r="A151" s="348">
        <v>133</v>
      </c>
      <c r="B151" s="348" t="s">
        <v>311</v>
      </c>
      <c r="C151" s="348" t="s">
        <v>443</v>
      </c>
      <c r="D151" s="349">
        <v>4143</v>
      </c>
      <c r="E151" s="348">
        <v>5.1999999999999998E-2</v>
      </c>
      <c r="F151" s="381"/>
      <c r="G151" s="350">
        <f t="shared" si="19"/>
        <v>21519.422300884973</v>
      </c>
      <c r="H151" s="384">
        <f t="shared" si="14"/>
        <v>2.599870006499673E-3</v>
      </c>
      <c r="I151" s="350">
        <f t="shared" si="15"/>
        <v>1033.1058946010055</v>
      </c>
      <c r="J151" s="350">
        <f t="shared" si="16"/>
        <v>258.27647365025138</v>
      </c>
      <c r="K151" s="350">
        <f t="shared" si="17"/>
        <v>774.82942095075418</v>
      </c>
      <c r="L151" s="350">
        <f t="shared" si="18"/>
        <v>208</v>
      </c>
      <c r="N151" s="350"/>
      <c r="O151" s="398">
        <f>+VLOOKUP(C151,Pop_ISTAT!$A$10:$J$273,10,FALSE)</f>
        <v>3031</v>
      </c>
    </row>
    <row r="152" spans="1:17">
      <c r="A152" s="348">
        <v>134</v>
      </c>
      <c r="B152" s="348" t="s">
        <v>306</v>
      </c>
      <c r="C152" s="348" t="s">
        <v>444</v>
      </c>
      <c r="D152" s="349">
        <v>4123</v>
      </c>
      <c r="E152" s="348">
        <v>5.0999999999999997E-2</v>
      </c>
      <c r="F152" s="381"/>
      <c r="G152" s="350">
        <f t="shared" si="19"/>
        <v>21105.587256637184</v>
      </c>
      <c r="H152" s="384">
        <f t="shared" si="14"/>
        <v>2.5498725063746791E-3</v>
      </c>
      <c r="I152" s="350">
        <f t="shared" si="15"/>
        <v>1028.1186588076143</v>
      </c>
      <c r="J152" s="350">
        <f t="shared" si="16"/>
        <v>257.02966470190358</v>
      </c>
      <c r="K152" s="350">
        <f t="shared" si="17"/>
        <v>771.08899410571075</v>
      </c>
      <c r="L152" s="350">
        <f t="shared" si="18"/>
        <v>204</v>
      </c>
      <c r="N152" s="350"/>
      <c r="O152" s="398">
        <f>+VLOOKUP(C152,Pop_ISTAT!$A$10:$J$273,10,FALSE)</f>
        <v>9535</v>
      </c>
    </row>
    <row r="153" spans="1:17">
      <c r="A153" s="348">
        <v>135</v>
      </c>
      <c r="B153" s="348" t="s">
        <v>315</v>
      </c>
      <c r="C153" s="348" t="s">
        <v>445</v>
      </c>
      <c r="D153" s="349">
        <v>4025</v>
      </c>
      <c r="E153" s="348">
        <v>0.05</v>
      </c>
      <c r="F153" s="381"/>
      <c r="G153" s="350">
        <f t="shared" si="19"/>
        <v>20691.752212389398</v>
      </c>
      <c r="H153" s="384">
        <f t="shared" si="14"/>
        <v>2.4998750062496856E-3</v>
      </c>
      <c r="I153" s="350">
        <f t="shared" si="15"/>
        <v>1003.6812034199969</v>
      </c>
      <c r="J153" s="350">
        <f t="shared" si="16"/>
        <v>250.92030085499923</v>
      </c>
      <c r="K153" s="350">
        <f t="shared" si="17"/>
        <v>752.76090256499765</v>
      </c>
      <c r="L153" s="350">
        <f t="shared" si="18"/>
        <v>200</v>
      </c>
      <c r="N153" s="350"/>
      <c r="O153" s="398">
        <f>+VLOOKUP(C153,Pop_ISTAT!$A$10:$J$273,10,FALSE)</f>
        <v>10056</v>
      </c>
    </row>
    <row r="154" spans="1:17">
      <c r="A154" s="348">
        <v>136</v>
      </c>
      <c r="B154" s="348" t="s">
        <v>311</v>
      </c>
      <c r="C154" s="348" t="s">
        <v>446</v>
      </c>
      <c r="D154" s="349">
        <v>4010</v>
      </c>
      <c r="E154" s="348">
        <v>0.05</v>
      </c>
      <c r="F154" s="381"/>
      <c r="G154" s="350">
        <f t="shared" si="19"/>
        <v>20691.752212389398</v>
      </c>
      <c r="H154" s="384">
        <f t="shared" si="14"/>
        <v>2.4998750062496856E-3</v>
      </c>
      <c r="I154" s="350">
        <f t="shared" si="15"/>
        <v>999.94077657495347</v>
      </c>
      <c r="J154" s="350">
        <f t="shared" si="16"/>
        <v>249.98519414373837</v>
      </c>
      <c r="K154" s="350">
        <f t="shared" si="17"/>
        <v>749.95558243121513</v>
      </c>
      <c r="L154" s="350">
        <f t="shared" si="18"/>
        <v>200</v>
      </c>
      <c r="N154" s="350"/>
      <c r="O154" s="398">
        <f>+VLOOKUP(C154,Pop_ISTAT!$A$10:$J$273,10,FALSE)</f>
        <v>6047</v>
      </c>
    </row>
    <row r="155" spans="1:17">
      <c r="A155" s="348">
        <v>137</v>
      </c>
      <c r="B155" s="348" t="s">
        <v>307</v>
      </c>
      <c r="C155" s="348" t="s">
        <v>447</v>
      </c>
      <c r="D155" s="349">
        <v>3979</v>
      </c>
      <c r="E155" s="348">
        <v>0.05</v>
      </c>
      <c r="F155" s="381"/>
      <c r="G155" s="350">
        <f t="shared" si="19"/>
        <v>20691.752212389398</v>
      </c>
      <c r="H155" s="384">
        <f t="shared" si="14"/>
        <v>2.4998750062496856E-3</v>
      </c>
      <c r="I155" s="350">
        <f t="shared" si="15"/>
        <v>992.21056109519702</v>
      </c>
      <c r="J155" s="350">
        <f t="shared" si="16"/>
        <v>248.05264027379926</v>
      </c>
      <c r="K155" s="350">
        <f t="shared" si="17"/>
        <v>744.15792082139774</v>
      </c>
      <c r="L155" s="350">
        <f t="shared" si="18"/>
        <v>200</v>
      </c>
      <c r="N155" s="350"/>
      <c r="O155" s="398">
        <f>+VLOOKUP(C155,Pop_ISTAT!$A$10:$J$273,10,FALSE)</f>
        <v>8829</v>
      </c>
    </row>
    <row r="156" spans="1:17">
      <c r="A156" s="348">
        <v>138</v>
      </c>
      <c r="B156" s="348" t="s">
        <v>311</v>
      </c>
      <c r="C156" s="348" t="s">
        <v>448</v>
      </c>
      <c r="D156" s="349">
        <v>3891</v>
      </c>
      <c r="E156" s="348">
        <v>4.9000000000000002E-2</v>
      </c>
      <c r="F156" s="381"/>
      <c r="G156" s="350">
        <f t="shared" si="19"/>
        <v>20277.917168141612</v>
      </c>
      <c r="H156" s="384">
        <f t="shared" si="14"/>
        <v>2.4498775061246921E-3</v>
      </c>
      <c r="I156" s="350">
        <f t="shared" si="15"/>
        <v>970.26672360427528</v>
      </c>
      <c r="J156" s="350">
        <f t="shared" si="16"/>
        <v>242.56668090106882</v>
      </c>
      <c r="K156" s="350">
        <f t="shared" si="17"/>
        <v>727.70004270320646</v>
      </c>
      <c r="L156" s="350">
        <f t="shared" si="18"/>
        <v>196</v>
      </c>
      <c r="N156" s="350"/>
      <c r="O156" s="398">
        <f>+VLOOKUP(C156,Pop_ISTAT!$A$10:$J$273,10,FALSE)</f>
        <v>11814</v>
      </c>
    </row>
    <row r="157" spans="1:17">
      <c r="A157" s="348">
        <v>139</v>
      </c>
      <c r="B157" s="348" t="s">
        <v>306</v>
      </c>
      <c r="C157" s="348" t="s">
        <v>449</v>
      </c>
      <c r="D157" s="349">
        <v>3843</v>
      </c>
      <c r="E157" s="348">
        <v>4.8000000000000001E-2</v>
      </c>
      <c r="F157" s="381"/>
      <c r="G157" s="350">
        <f t="shared" si="19"/>
        <v>19864.082123893826</v>
      </c>
      <c r="H157" s="384">
        <f t="shared" si="14"/>
        <v>2.3998800059996986E-3</v>
      </c>
      <c r="I157" s="350">
        <f t="shared" si="15"/>
        <v>958.29735770013622</v>
      </c>
      <c r="J157" s="350">
        <f t="shared" si="16"/>
        <v>239.57433942503405</v>
      </c>
      <c r="K157" s="350">
        <f t="shared" si="17"/>
        <v>718.72301827510216</v>
      </c>
      <c r="L157" s="350">
        <f t="shared" si="18"/>
        <v>192</v>
      </c>
      <c r="N157" s="350"/>
      <c r="O157" s="398">
        <f>+VLOOKUP(C157,Pop_ISTAT!$A$10:$J$273,10,FALSE)</f>
        <v>17219</v>
      </c>
    </row>
    <row r="158" spans="1:17">
      <c r="A158" s="348">
        <v>140</v>
      </c>
      <c r="B158" s="348" t="s">
        <v>306</v>
      </c>
      <c r="C158" s="348" t="s">
        <v>450</v>
      </c>
      <c r="D158" s="349">
        <v>3830</v>
      </c>
      <c r="E158" s="348">
        <v>4.8000000000000001E-2</v>
      </c>
      <c r="F158" s="381"/>
      <c r="G158" s="350">
        <f t="shared" si="19"/>
        <v>19864.082123893826</v>
      </c>
      <c r="H158" s="384">
        <f t="shared" si="14"/>
        <v>2.3998800059996986E-3</v>
      </c>
      <c r="I158" s="350">
        <f t="shared" si="15"/>
        <v>955.05565443443186</v>
      </c>
      <c r="J158" s="350">
        <f t="shared" si="16"/>
        <v>238.76391360860796</v>
      </c>
      <c r="K158" s="350">
        <f t="shared" si="17"/>
        <v>716.29174082582392</v>
      </c>
      <c r="L158" s="350">
        <f t="shared" si="18"/>
        <v>192</v>
      </c>
      <c r="N158" s="350"/>
      <c r="O158" s="398">
        <f>+VLOOKUP(C158,Pop_ISTAT!$A$10:$J$273,10,FALSE)</f>
        <v>5907</v>
      </c>
    </row>
    <row r="159" spans="1:17">
      <c r="A159" s="348">
        <v>141</v>
      </c>
      <c r="B159" s="348" t="s">
        <v>306</v>
      </c>
      <c r="C159" s="348" t="s">
        <v>451</v>
      </c>
      <c r="D159" s="349">
        <v>3824</v>
      </c>
      <c r="E159" s="348">
        <v>4.8000000000000001E-2</v>
      </c>
      <c r="F159" s="381"/>
      <c r="G159" s="350">
        <f t="shared" si="19"/>
        <v>19864.082123893826</v>
      </c>
      <c r="H159" s="384">
        <f t="shared" si="14"/>
        <v>2.3998800059996986E-3</v>
      </c>
      <c r="I159" s="350">
        <f t="shared" si="15"/>
        <v>953.55948369641453</v>
      </c>
      <c r="J159" s="350">
        <f t="shared" si="16"/>
        <v>238.38987092410363</v>
      </c>
      <c r="K159" s="350">
        <f t="shared" si="17"/>
        <v>715.16961277231087</v>
      </c>
      <c r="L159" s="350">
        <f t="shared" si="18"/>
        <v>192</v>
      </c>
      <c r="N159" s="350"/>
      <c r="O159" s="398">
        <f>+VLOOKUP(C159,Pop_ISTAT!$A$10:$J$273,10,FALSE)</f>
        <v>16452</v>
      </c>
    </row>
    <row r="160" spans="1:17">
      <c r="A160" s="348">
        <v>142</v>
      </c>
      <c r="B160" s="348" t="s">
        <v>311</v>
      </c>
      <c r="C160" s="348" t="s">
        <v>452</v>
      </c>
      <c r="D160" s="349">
        <v>3809</v>
      </c>
      <c r="E160" s="348">
        <v>4.7E-2</v>
      </c>
      <c r="F160" s="381"/>
      <c r="G160" s="350">
        <f t="shared" si="19"/>
        <v>19450.247079646037</v>
      </c>
      <c r="H160" s="384">
        <f t="shared" si="14"/>
        <v>2.3498825058747047E-3</v>
      </c>
      <c r="I160" s="350">
        <f t="shared" si="15"/>
        <v>949.81905685137099</v>
      </c>
      <c r="J160" s="350">
        <f t="shared" si="16"/>
        <v>237.45476421284275</v>
      </c>
      <c r="K160" s="350">
        <f t="shared" si="17"/>
        <v>712.36429263852824</v>
      </c>
      <c r="L160" s="350">
        <f t="shared" si="18"/>
        <v>188</v>
      </c>
      <c r="N160" s="350"/>
      <c r="O160" s="398">
        <f>+VLOOKUP(C160,Pop_ISTAT!$A$10:$J$273,10,FALSE)</f>
        <v>7611</v>
      </c>
    </row>
    <row r="161" spans="1:15">
      <c r="A161" s="348">
        <v>143</v>
      </c>
      <c r="B161" s="348" t="s">
        <v>309</v>
      </c>
      <c r="C161" s="348" t="s">
        <v>453</v>
      </c>
      <c r="D161" s="349">
        <v>3790</v>
      </c>
      <c r="E161" s="348">
        <v>4.7E-2</v>
      </c>
      <c r="F161" s="381"/>
      <c r="G161" s="350">
        <f t="shared" si="19"/>
        <v>19450.247079646037</v>
      </c>
      <c r="H161" s="384">
        <f t="shared" si="14"/>
        <v>2.3498825058747047E-3</v>
      </c>
      <c r="I161" s="350">
        <f t="shared" si="15"/>
        <v>945.0811828476493</v>
      </c>
      <c r="J161" s="350">
        <f t="shared" si="16"/>
        <v>236.27029571191233</v>
      </c>
      <c r="K161" s="350">
        <f t="shared" si="17"/>
        <v>708.81088713573695</v>
      </c>
      <c r="L161" s="350">
        <f t="shared" si="18"/>
        <v>188</v>
      </c>
      <c r="N161" s="350"/>
      <c r="O161" s="398">
        <f>+VLOOKUP(C161,Pop_ISTAT!$A$10:$J$273,10,FALSE)</f>
        <v>486</v>
      </c>
    </row>
    <row r="162" spans="1:15">
      <c r="A162" s="348">
        <v>144</v>
      </c>
      <c r="B162" s="348" t="s">
        <v>309</v>
      </c>
      <c r="C162" s="348" t="s">
        <v>454</v>
      </c>
      <c r="D162" s="349">
        <v>3775</v>
      </c>
      <c r="E162" s="348">
        <v>4.7E-2</v>
      </c>
      <c r="F162" s="381"/>
      <c r="G162" s="350">
        <f t="shared" si="19"/>
        <v>19450.247079646037</v>
      </c>
      <c r="H162" s="384">
        <f t="shared" si="14"/>
        <v>2.3498825058747047E-3</v>
      </c>
      <c r="I162" s="350">
        <f t="shared" si="15"/>
        <v>941.34075600260587</v>
      </c>
      <c r="J162" s="350">
        <f t="shared" si="16"/>
        <v>235.33518900065147</v>
      </c>
      <c r="K162" s="350">
        <f t="shared" si="17"/>
        <v>706.00556700195443</v>
      </c>
      <c r="L162" s="350">
        <f t="shared" si="18"/>
        <v>188</v>
      </c>
      <c r="N162" s="350"/>
      <c r="O162" s="398">
        <f>+VLOOKUP(C162,Pop_ISTAT!$A$10:$J$273,10,FALSE)</f>
        <v>354</v>
      </c>
    </row>
    <row r="163" spans="1:15">
      <c r="A163" s="348">
        <v>145</v>
      </c>
      <c r="B163" s="348" t="s">
        <v>311</v>
      </c>
      <c r="C163" s="348" t="s">
        <v>455</v>
      </c>
      <c r="D163" s="349">
        <v>3775</v>
      </c>
      <c r="E163" s="348">
        <v>4.7E-2</v>
      </c>
      <c r="F163" s="381"/>
      <c r="G163" s="350">
        <f t="shared" si="19"/>
        <v>19450.247079646037</v>
      </c>
      <c r="H163" s="384">
        <f t="shared" si="14"/>
        <v>2.3498825058747047E-3</v>
      </c>
      <c r="I163" s="350">
        <f t="shared" si="15"/>
        <v>941.34075600260587</v>
      </c>
      <c r="J163" s="350">
        <f t="shared" si="16"/>
        <v>235.33518900065147</v>
      </c>
      <c r="K163" s="350">
        <f t="shared" si="17"/>
        <v>706.00556700195443</v>
      </c>
      <c r="L163" s="350">
        <f t="shared" si="18"/>
        <v>188</v>
      </c>
      <c r="N163" s="350"/>
      <c r="O163" s="398">
        <f>+VLOOKUP(C163,Pop_ISTAT!$A$10:$J$273,10,FALSE)</f>
        <v>6663</v>
      </c>
    </row>
    <row r="164" spans="1:15">
      <c r="A164" s="348">
        <v>146</v>
      </c>
      <c r="B164" s="348" t="s">
        <v>311</v>
      </c>
      <c r="C164" s="348" t="s">
        <v>456</v>
      </c>
      <c r="D164" s="349">
        <v>3748</v>
      </c>
      <c r="E164" s="348">
        <v>4.7E-2</v>
      </c>
      <c r="F164" s="381"/>
      <c r="G164" s="350">
        <f t="shared" si="19"/>
        <v>19450.247079646037</v>
      </c>
      <c r="H164" s="384">
        <f t="shared" si="14"/>
        <v>2.3498825058747047E-3</v>
      </c>
      <c r="I164" s="350">
        <f t="shared" si="15"/>
        <v>934.60798768152756</v>
      </c>
      <c r="J164" s="350">
        <f t="shared" si="16"/>
        <v>233.65199692038189</v>
      </c>
      <c r="K164" s="350">
        <f t="shared" si="17"/>
        <v>700.9559907611457</v>
      </c>
      <c r="L164" s="350">
        <f t="shared" si="18"/>
        <v>188</v>
      </c>
      <c r="N164" s="350"/>
      <c r="O164" s="398">
        <f>+VLOOKUP(C164,Pop_ISTAT!$A$10:$J$273,10,FALSE)</f>
        <v>6079</v>
      </c>
    </row>
    <row r="165" spans="1:15">
      <c r="A165" s="348">
        <v>147</v>
      </c>
      <c r="B165" s="348" t="s">
        <v>311</v>
      </c>
      <c r="C165" s="348" t="s">
        <v>457</v>
      </c>
      <c r="D165" s="349">
        <v>3745</v>
      </c>
      <c r="E165" s="348">
        <v>4.7E-2</v>
      </c>
      <c r="F165" s="381"/>
      <c r="G165" s="350">
        <f t="shared" si="19"/>
        <v>19450.247079646037</v>
      </c>
      <c r="H165" s="384">
        <f t="shared" si="14"/>
        <v>2.3498825058747047E-3</v>
      </c>
      <c r="I165" s="350">
        <f t="shared" si="15"/>
        <v>933.8599023125189</v>
      </c>
      <c r="J165" s="350">
        <f t="shared" si="16"/>
        <v>233.46497557812972</v>
      </c>
      <c r="K165" s="350">
        <f t="shared" si="17"/>
        <v>700.39492673438917</v>
      </c>
      <c r="L165" s="350">
        <f t="shared" si="18"/>
        <v>188</v>
      </c>
      <c r="N165" s="350"/>
      <c r="O165" s="398">
        <f>+VLOOKUP(C165,Pop_ISTAT!$A$10:$J$273,10,FALSE)</f>
        <v>8644</v>
      </c>
    </row>
    <row r="166" spans="1:15">
      <c r="A166" s="348">
        <v>148</v>
      </c>
      <c r="B166" s="348" t="s">
        <v>311</v>
      </c>
      <c r="C166" s="348" t="s">
        <v>458</v>
      </c>
      <c r="D166" s="349">
        <v>3740</v>
      </c>
      <c r="E166" s="348">
        <v>4.7E-2</v>
      </c>
      <c r="F166" s="381"/>
      <c r="G166" s="350">
        <f t="shared" si="19"/>
        <v>19450.247079646037</v>
      </c>
      <c r="H166" s="384">
        <f t="shared" si="14"/>
        <v>2.3498825058747047E-3</v>
      </c>
      <c r="I166" s="350">
        <f t="shared" si="15"/>
        <v>932.61309336417105</v>
      </c>
      <c r="J166" s="350">
        <f t="shared" si="16"/>
        <v>233.15327334104276</v>
      </c>
      <c r="K166" s="350">
        <f t="shared" si="17"/>
        <v>699.45982002312826</v>
      </c>
      <c r="L166" s="350">
        <f t="shared" si="18"/>
        <v>188</v>
      </c>
      <c r="N166" s="350"/>
      <c r="O166" s="398">
        <f>+VLOOKUP(C166,Pop_ISTAT!$A$10:$J$273,10,FALSE)</f>
        <v>4503</v>
      </c>
    </row>
    <row r="167" spans="1:15">
      <c r="A167" s="348">
        <v>149</v>
      </c>
      <c r="B167" s="348" t="s">
        <v>315</v>
      </c>
      <c r="C167" s="348" t="s">
        <v>459</v>
      </c>
      <c r="D167" s="349">
        <v>3702</v>
      </c>
      <c r="E167" s="348">
        <v>4.5999999999999999E-2</v>
      </c>
      <c r="F167" s="381"/>
      <c r="G167" s="350">
        <f t="shared" si="19"/>
        <v>19036.412035398247</v>
      </c>
      <c r="H167" s="384">
        <f t="shared" si="14"/>
        <v>2.2998850057497108E-3</v>
      </c>
      <c r="I167" s="350">
        <f t="shared" si="15"/>
        <v>923.13734535672768</v>
      </c>
      <c r="J167" s="350">
        <f t="shared" si="16"/>
        <v>230.78433633918192</v>
      </c>
      <c r="K167" s="350">
        <f t="shared" si="17"/>
        <v>692.35300901754579</v>
      </c>
      <c r="L167" s="350">
        <f t="shared" si="18"/>
        <v>184</v>
      </c>
      <c r="N167" s="350"/>
      <c r="O167" s="398">
        <f>+VLOOKUP(C167,Pop_ISTAT!$A$10:$J$273,10,FALSE)</f>
        <v>5955</v>
      </c>
    </row>
    <row r="168" spans="1:15">
      <c r="A168" s="348">
        <v>150</v>
      </c>
      <c r="B168" s="348" t="s">
        <v>311</v>
      </c>
      <c r="C168" s="348" t="s">
        <v>460</v>
      </c>
      <c r="D168" s="349">
        <v>3696</v>
      </c>
      <c r="E168" s="348">
        <v>4.5999999999999999E-2</v>
      </c>
      <c r="F168" s="381"/>
      <c r="G168" s="350">
        <f t="shared" si="19"/>
        <v>19036.412035398247</v>
      </c>
      <c r="H168" s="384">
        <f t="shared" si="14"/>
        <v>2.2998850057497108E-3</v>
      </c>
      <c r="I168" s="350">
        <f t="shared" si="15"/>
        <v>921.64117461871024</v>
      </c>
      <c r="J168" s="350">
        <f t="shared" si="16"/>
        <v>230.41029365467756</v>
      </c>
      <c r="K168" s="350">
        <f t="shared" si="17"/>
        <v>691.23088096403262</v>
      </c>
      <c r="L168" s="350">
        <f t="shared" si="18"/>
        <v>184</v>
      </c>
      <c r="N168" s="350"/>
      <c r="O168" s="398">
        <f>+VLOOKUP(C168,Pop_ISTAT!$A$10:$J$273,10,FALSE)</f>
        <v>5304</v>
      </c>
    </row>
    <row r="169" spans="1:15">
      <c r="A169" s="348">
        <v>151</v>
      </c>
      <c r="B169" s="348" t="s">
        <v>311</v>
      </c>
      <c r="C169" s="348" t="s">
        <v>461</v>
      </c>
      <c r="D169" s="349">
        <v>3685</v>
      </c>
      <c r="E169" s="348">
        <v>4.5999999999999999E-2</v>
      </c>
      <c r="F169" s="381"/>
      <c r="G169" s="350">
        <f t="shared" si="19"/>
        <v>19036.412035398247</v>
      </c>
      <c r="H169" s="384">
        <f t="shared" si="14"/>
        <v>2.2998850057497108E-3</v>
      </c>
      <c r="I169" s="350">
        <f t="shared" si="15"/>
        <v>918.89819493234506</v>
      </c>
      <c r="J169" s="350">
        <f t="shared" si="16"/>
        <v>229.72454873308627</v>
      </c>
      <c r="K169" s="350">
        <f t="shared" si="17"/>
        <v>689.17364619925877</v>
      </c>
      <c r="L169" s="350">
        <f t="shared" si="18"/>
        <v>184</v>
      </c>
      <c r="N169" s="350"/>
      <c r="O169" s="398">
        <f>+VLOOKUP(C169,Pop_ISTAT!$A$10:$J$273,10,FALSE)</f>
        <v>5504</v>
      </c>
    </row>
    <row r="170" spans="1:15">
      <c r="A170" s="348">
        <v>152</v>
      </c>
      <c r="B170" s="348" t="s">
        <v>306</v>
      </c>
      <c r="C170" s="348" t="s">
        <v>462</v>
      </c>
      <c r="D170" s="349">
        <v>3609</v>
      </c>
      <c r="E170" s="348">
        <v>4.4999999999999998E-2</v>
      </c>
      <c r="F170" s="381"/>
      <c r="G170" s="350">
        <f t="shared" si="19"/>
        <v>18622.576991150458</v>
      </c>
      <c r="H170" s="384">
        <f t="shared" si="14"/>
        <v>2.2498875056247169E-3</v>
      </c>
      <c r="I170" s="350">
        <f t="shared" si="15"/>
        <v>899.94669891745809</v>
      </c>
      <c r="J170" s="350">
        <f t="shared" si="16"/>
        <v>224.98667472936452</v>
      </c>
      <c r="K170" s="350">
        <f t="shared" si="17"/>
        <v>674.9600241880936</v>
      </c>
      <c r="L170" s="350">
        <f t="shared" si="18"/>
        <v>180</v>
      </c>
      <c r="N170" s="350"/>
      <c r="O170" s="398">
        <f>+VLOOKUP(C170,Pop_ISTAT!$A$10:$J$273,10,FALSE)</f>
        <v>11728</v>
      </c>
    </row>
    <row r="171" spans="1:15">
      <c r="A171" s="348">
        <v>153</v>
      </c>
      <c r="B171" s="348" t="s">
        <v>311</v>
      </c>
      <c r="C171" s="348" t="s">
        <v>463</v>
      </c>
      <c r="D171" s="349">
        <v>3553</v>
      </c>
      <c r="E171" s="348">
        <v>4.3999999999999997E-2</v>
      </c>
      <c r="F171" s="381"/>
      <c r="G171" s="350">
        <f t="shared" si="19"/>
        <v>18208.741946902672</v>
      </c>
      <c r="H171" s="384">
        <f t="shared" si="14"/>
        <v>2.1998900054997234E-3</v>
      </c>
      <c r="I171" s="350">
        <f t="shared" si="15"/>
        <v>885.98243869596251</v>
      </c>
      <c r="J171" s="350">
        <f t="shared" si="16"/>
        <v>221.49560967399063</v>
      </c>
      <c r="K171" s="350">
        <f t="shared" si="17"/>
        <v>664.48682902197186</v>
      </c>
      <c r="L171" s="350">
        <f t="shared" si="18"/>
        <v>176</v>
      </c>
      <c r="N171" s="350"/>
      <c r="O171" s="398">
        <f>+VLOOKUP(C171,Pop_ISTAT!$A$10:$J$273,10,FALSE)</f>
        <v>5525</v>
      </c>
    </row>
    <row r="172" spans="1:15">
      <c r="A172" s="348">
        <v>154</v>
      </c>
      <c r="B172" s="348" t="s">
        <v>311</v>
      </c>
      <c r="C172" s="348" t="s">
        <v>464</v>
      </c>
      <c r="D172" s="349">
        <v>3541</v>
      </c>
      <c r="E172" s="348">
        <v>4.3999999999999997E-2</v>
      </c>
      <c r="F172" s="381"/>
      <c r="G172" s="350">
        <f t="shared" si="19"/>
        <v>18208.741946902672</v>
      </c>
      <c r="H172" s="384">
        <f t="shared" si="14"/>
        <v>2.1998900054997234E-3</v>
      </c>
      <c r="I172" s="350">
        <f t="shared" si="15"/>
        <v>882.99009721992775</v>
      </c>
      <c r="J172" s="350">
        <f t="shared" si="16"/>
        <v>220.74752430498194</v>
      </c>
      <c r="K172" s="350">
        <f t="shared" si="17"/>
        <v>662.24257291494587</v>
      </c>
      <c r="L172" s="350">
        <f t="shared" si="18"/>
        <v>176</v>
      </c>
      <c r="N172" s="350"/>
      <c r="O172" s="398">
        <f>+VLOOKUP(C172,Pop_ISTAT!$A$10:$J$273,10,FALSE)</f>
        <v>8465</v>
      </c>
    </row>
    <row r="173" spans="1:15">
      <c r="A173" s="348">
        <v>155</v>
      </c>
      <c r="B173" s="348" t="s">
        <v>311</v>
      </c>
      <c r="C173" s="348" t="s">
        <v>465</v>
      </c>
      <c r="D173" s="349">
        <v>3447</v>
      </c>
      <c r="E173" s="348">
        <v>4.2999999999999997E-2</v>
      </c>
      <c r="F173" s="381"/>
      <c r="G173" s="350">
        <f t="shared" si="19"/>
        <v>17794.906902654882</v>
      </c>
      <c r="H173" s="384">
        <f t="shared" si="14"/>
        <v>2.1498925053747295E-3</v>
      </c>
      <c r="I173" s="350">
        <f t="shared" si="15"/>
        <v>859.55008899098868</v>
      </c>
      <c r="J173" s="350">
        <f t="shared" si="16"/>
        <v>214.88752224774717</v>
      </c>
      <c r="K173" s="350">
        <f t="shared" si="17"/>
        <v>644.66256674324154</v>
      </c>
      <c r="L173" s="350">
        <f t="shared" si="18"/>
        <v>172</v>
      </c>
      <c r="N173" s="350"/>
      <c r="O173" s="398">
        <f>+VLOOKUP(C173,Pop_ISTAT!$A$10:$J$273,10,FALSE)</f>
        <v>4811</v>
      </c>
    </row>
    <row r="174" spans="1:15">
      <c r="A174" s="348">
        <v>156</v>
      </c>
      <c r="B174" s="348" t="s">
        <v>306</v>
      </c>
      <c r="C174" s="348" t="s">
        <v>466</v>
      </c>
      <c r="D174" s="349">
        <v>3436</v>
      </c>
      <c r="E174" s="348">
        <v>4.2999999999999997E-2</v>
      </c>
      <c r="F174" s="381"/>
      <c r="G174" s="350">
        <f t="shared" si="19"/>
        <v>17794.906902654882</v>
      </c>
      <c r="H174" s="384">
        <f t="shared" si="14"/>
        <v>2.1498925053747295E-3</v>
      </c>
      <c r="I174" s="350">
        <f t="shared" si="15"/>
        <v>856.80710930462351</v>
      </c>
      <c r="J174" s="350">
        <f t="shared" si="16"/>
        <v>214.20177732615588</v>
      </c>
      <c r="K174" s="350">
        <f t="shared" si="17"/>
        <v>642.60533197846758</v>
      </c>
      <c r="L174" s="350">
        <f t="shared" si="18"/>
        <v>172</v>
      </c>
      <c r="N174" s="350"/>
      <c r="O174" s="398">
        <f>+VLOOKUP(C174,Pop_ISTAT!$A$10:$J$273,10,FALSE)</f>
        <v>15032</v>
      </c>
    </row>
    <row r="175" spans="1:15">
      <c r="A175" s="348">
        <v>157</v>
      </c>
      <c r="B175" s="348" t="s">
        <v>311</v>
      </c>
      <c r="C175" s="348" t="s">
        <v>467</v>
      </c>
      <c r="D175" s="349">
        <v>3415</v>
      </c>
      <c r="E175" s="348">
        <v>4.2999999999999997E-2</v>
      </c>
      <c r="F175" s="381"/>
      <c r="G175" s="350">
        <f t="shared" si="19"/>
        <v>17794.906902654882</v>
      </c>
      <c r="H175" s="384">
        <f t="shared" si="14"/>
        <v>2.1498925053747295E-3</v>
      </c>
      <c r="I175" s="350">
        <f t="shared" si="15"/>
        <v>851.57051172156264</v>
      </c>
      <c r="J175" s="350">
        <f t="shared" si="16"/>
        <v>212.89262793039066</v>
      </c>
      <c r="K175" s="350">
        <f t="shared" si="17"/>
        <v>638.67788379117201</v>
      </c>
      <c r="L175" s="350">
        <f t="shared" si="18"/>
        <v>172</v>
      </c>
      <c r="N175" s="350"/>
      <c r="O175" s="398">
        <f>+VLOOKUP(C175,Pop_ISTAT!$A$10:$J$273,10,FALSE)</f>
        <v>4319</v>
      </c>
    </row>
    <row r="176" spans="1:15">
      <c r="A176" s="348">
        <v>158</v>
      </c>
      <c r="B176" s="348" t="s">
        <v>311</v>
      </c>
      <c r="C176" s="348" t="s">
        <v>468</v>
      </c>
      <c r="D176" s="349">
        <v>3379</v>
      </c>
      <c r="E176" s="348">
        <v>4.2000000000000003E-2</v>
      </c>
      <c r="F176" s="381"/>
      <c r="G176" s="350">
        <f t="shared" si="19"/>
        <v>17381.071858407096</v>
      </c>
      <c r="H176" s="384">
        <f t="shared" si="14"/>
        <v>2.099895005249736E-3</v>
      </c>
      <c r="I176" s="350">
        <f t="shared" si="15"/>
        <v>842.59348729345834</v>
      </c>
      <c r="J176" s="350">
        <f t="shared" si="16"/>
        <v>210.64837182336458</v>
      </c>
      <c r="K176" s="350">
        <f t="shared" si="17"/>
        <v>631.9451154700937</v>
      </c>
      <c r="L176" s="350">
        <f t="shared" si="18"/>
        <v>168</v>
      </c>
      <c r="N176" s="350"/>
      <c r="O176" s="398">
        <f>+VLOOKUP(C176,Pop_ISTAT!$A$10:$J$273,10,FALSE)</f>
        <v>2793</v>
      </c>
    </row>
    <row r="177" spans="1:17">
      <c r="A177" s="348">
        <v>159</v>
      </c>
      <c r="B177" s="348" t="s">
        <v>309</v>
      </c>
      <c r="C177" s="348" t="s">
        <v>469</v>
      </c>
      <c r="D177" s="349">
        <v>3334</v>
      </c>
      <c r="E177" s="348">
        <v>4.2000000000000003E-2</v>
      </c>
      <c r="F177" s="381"/>
      <c r="G177" s="350">
        <f t="shared" si="19"/>
        <v>17381.071858407096</v>
      </c>
      <c r="H177" s="384">
        <f t="shared" si="14"/>
        <v>2.099895005249736E-3</v>
      </c>
      <c r="I177" s="350">
        <f t="shared" si="15"/>
        <v>831.37220675832793</v>
      </c>
      <c r="J177" s="350">
        <f t="shared" si="16"/>
        <v>207.84305168958198</v>
      </c>
      <c r="K177" s="350">
        <f t="shared" si="17"/>
        <v>623.52915506874592</v>
      </c>
      <c r="L177" s="350">
        <f t="shared" si="18"/>
        <v>168</v>
      </c>
      <c r="N177" s="350"/>
      <c r="O177" s="398">
        <f>+VLOOKUP(C177,Pop_ISTAT!$A$10:$J$273,10,FALSE)</f>
        <v>2893</v>
      </c>
    </row>
    <row r="178" spans="1:17">
      <c r="A178" s="348">
        <v>160</v>
      </c>
      <c r="B178" s="348" t="s">
        <v>306</v>
      </c>
      <c r="C178" s="348" t="s">
        <v>470</v>
      </c>
      <c r="D178" s="349">
        <v>3329</v>
      </c>
      <c r="E178" s="348">
        <v>4.2000000000000003E-2</v>
      </c>
      <c r="F178" s="381"/>
      <c r="G178" s="350">
        <f t="shared" si="19"/>
        <v>17381.071858407096</v>
      </c>
      <c r="H178" s="384">
        <f t="shared" si="14"/>
        <v>2.099895005249736E-3</v>
      </c>
      <c r="I178" s="350">
        <f t="shared" si="15"/>
        <v>830.12539780998009</v>
      </c>
      <c r="J178" s="350">
        <f t="shared" si="16"/>
        <v>207.53134945249502</v>
      </c>
      <c r="K178" s="350">
        <f t="shared" si="17"/>
        <v>622.59404835748501</v>
      </c>
      <c r="L178" s="350">
        <f t="shared" si="18"/>
        <v>168</v>
      </c>
      <c r="N178" s="350"/>
      <c r="O178" s="398">
        <f>+VLOOKUP(C178,Pop_ISTAT!$A$10:$J$273,10,FALSE)</f>
        <v>11399</v>
      </c>
    </row>
    <row r="179" spans="1:17">
      <c r="A179" s="348">
        <v>161</v>
      </c>
      <c r="B179" s="348" t="s">
        <v>313</v>
      </c>
      <c r="C179" s="348" t="s">
        <v>471</v>
      </c>
      <c r="D179" s="349">
        <v>3325</v>
      </c>
      <c r="E179" s="348">
        <v>4.1000000000000002E-2</v>
      </c>
      <c r="F179" s="381"/>
      <c r="G179" s="350">
        <f t="shared" si="19"/>
        <v>16967.236814159307</v>
      </c>
      <c r="H179" s="384">
        <f t="shared" si="14"/>
        <v>2.0498975051247421E-3</v>
      </c>
      <c r="I179" s="350">
        <f t="shared" si="15"/>
        <v>829.12795065130183</v>
      </c>
      <c r="J179" s="350">
        <f t="shared" si="16"/>
        <v>207.28198766282546</v>
      </c>
      <c r="K179" s="350">
        <f t="shared" si="17"/>
        <v>621.84596298847634</v>
      </c>
      <c r="L179" s="350">
        <f t="shared" si="18"/>
        <v>164</v>
      </c>
      <c r="N179" s="350"/>
      <c r="O179" s="398">
        <f>+VLOOKUP(C179,Pop_ISTAT!$A$10:$J$273,10,FALSE)</f>
        <v>5824</v>
      </c>
    </row>
    <row r="180" spans="1:17">
      <c r="A180" s="378">
        <v>162</v>
      </c>
      <c r="B180" s="378" t="s">
        <v>311</v>
      </c>
      <c r="C180" s="378" t="s">
        <v>472</v>
      </c>
      <c r="D180" s="379">
        <v>3264</v>
      </c>
      <c r="E180" s="378">
        <v>4.1000000000000002E-2</v>
      </c>
      <c r="F180" s="382" t="s">
        <v>619</v>
      </c>
      <c r="G180" s="380">
        <f t="shared" si="19"/>
        <v>16967.236814159307</v>
      </c>
      <c r="H180" s="385">
        <f t="shared" si="14"/>
        <v>2.0498975051247421E-3</v>
      </c>
      <c r="I180" s="380">
        <f t="shared" si="15"/>
        <v>813.9168814814584</v>
      </c>
      <c r="J180" s="380">
        <f t="shared" si="16"/>
        <v>203.4792203703646</v>
      </c>
      <c r="K180" s="380">
        <f t="shared" si="17"/>
        <v>610.4376611110938</v>
      </c>
      <c r="L180" s="380">
        <f t="shared" si="18"/>
        <v>164</v>
      </c>
      <c r="M180" s="400"/>
      <c r="N180" s="380"/>
      <c r="O180" s="401">
        <f>+VLOOKUP(C180,Pop_ISTAT!$A$10:$J$273,10,FALSE)</f>
        <v>6571</v>
      </c>
      <c r="P180" s="400"/>
      <c r="Q180" s="402">
        <f>+O180</f>
        <v>6571</v>
      </c>
    </row>
    <row r="181" spans="1:17">
      <c r="A181" s="348">
        <v>163</v>
      </c>
      <c r="B181" s="348" t="s">
        <v>309</v>
      </c>
      <c r="C181" s="348" t="s">
        <v>473</v>
      </c>
      <c r="D181" s="349">
        <v>3257</v>
      </c>
      <c r="E181" s="348">
        <v>4.1000000000000002E-2</v>
      </c>
      <c r="F181" s="381"/>
      <c r="G181" s="350">
        <f t="shared" si="19"/>
        <v>16967.236814159307</v>
      </c>
      <c r="H181" s="384">
        <f t="shared" si="14"/>
        <v>2.0498975051247421E-3</v>
      </c>
      <c r="I181" s="350">
        <f t="shared" si="15"/>
        <v>812.17134895377148</v>
      </c>
      <c r="J181" s="350">
        <f t="shared" si="16"/>
        <v>203.04283723844287</v>
      </c>
      <c r="K181" s="350">
        <f t="shared" si="17"/>
        <v>609.12851171532861</v>
      </c>
      <c r="L181" s="350">
        <f t="shared" si="18"/>
        <v>164</v>
      </c>
      <c r="N181" s="350"/>
      <c r="O181" s="398">
        <f>+VLOOKUP(C181,Pop_ISTAT!$A$10:$J$273,10,FALSE)</f>
        <v>5680</v>
      </c>
    </row>
    <row r="182" spans="1:17">
      <c r="A182" s="348">
        <v>164</v>
      </c>
      <c r="B182" s="348" t="s">
        <v>307</v>
      </c>
      <c r="C182" s="348" t="s">
        <v>474</v>
      </c>
      <c r="D182" s="349">
        <v>3255</v>
      </c>
      <c r="E182" s="348">
        <v>4.1000000000000002E-2</v>
      </c>
      <c r="F182" s="381"/>
      <c r="G182" s="350">
        <f t="shared" si="19"/>
        <v>16967.236814159307</v>
      </c>
      <c r="H182" s="384">
        <f t="shared" si="14"/>
        <v>2.0498975051247421E-3</v>
      </c>
      <c r="I182" s="350">
        <f t="shared" si="15"/>
        <v>811.6726253744323</v>
      </c>
      <c r="J182" s="350">
        <f t="shared" si="16"/>
        <v>202.91815634360808</v>
      </c>
      <c r="K182" s="350">
        <f t="shared" si="17"/>
        <v>608.75446903082423</v>
      </c>
      <c r="L182" s="350">
        <f t="shared" si="18"/>
        <v>164</v>
      </c>
      <c r="N182" s="350"/>
      <c r="O182" s="398">
        <f>+VLOOKUP(C182,Pop_ISTAT!$A$10:$J$273,10,FALSE)</f>
        <v>6454</v>
      </c>
    </row>
    <row r="183" spans="1:17">
      <c r="A183" s="348">
        <v>165</v>
      </c>
      <c r="B183" s="348" t="s">
        <v>311</v>
      </c>
      <c r="C183" s="348" t="s">
        <v>475</v>
      </c>
      <c r="D183" s="349">
        <v>3217</v>
      </c>
      <c r="E183" s="348">
        <v>0.04</v>
      </c>
      <c r="F183" s="381"/>
      <c r="G183" s="350">
        <f t="shared" si="19"/>
        <v>16553.401769911521</v>
      </c>
      <c r="H183" s="384">
        <f t="shared" si="14"/>
        <v>1.9999000049997486E-3</v>
      </c>
      <c r="I183" s="350">
        <f t="shared" si="15"/>
        <v>802.19687736698882</v>
      </c>
      <c r="J183" s="350">
        <f t="shared" si="16"/>
        <v>200.5492193417472</v>
      </c>
      <c r="K183" s="350">
        <f t="shared" si="17"/>
        <v>601.64765802524164</v>
      </c>
      <c r="L183" s="350">
        <f t="shared" si="18"/>
        <v>160</v>
      </c>
      <c r="N183" s="350"/>
      <c r="O183" s="398">
        <f>+VLOOKUP(C183,Pop_ISTAT!$A$10:$J$273,10,FALSE)</f>
        <v>5370</v>
      </c>
    </row>
    <row r="184" spans="1:17">
      <c r="A184" s="348">
        <v>166</v>
      </c>
      <c r="B184" s="348" t="s">
        <v>309</v>
      </c>
      <c r="C184" s="348" t="s">
        <v>476</v>
      </c>
      <c r="D184" s="349">
        <v>3199</v>
      </c>
      <c r="E184" s="348">
        <v>0.04</v>
      </c>
      <c r="F184" s="381"/>
      <c r="G184" s="350">
        <f t="shared" si="19"/>
        <v>16553.401769911521</v>
      </c>
      <c r="H184" s="384">
        <f t="shared" si="14"/>
        <v>1.9999000049997486E-3</v>
      </c>
      <c r="I184" s="350">
        <f t="shared" si="15"/>
        <v>797.70836515293672</v>
      </c>
      <c r="J184" s="350">
        <f t="shared" si="16"/>
        <v>199.42709128823418</v>
      </c>
      <c r="K184" s="350">
        <f t="shared" si="17"/>
        <v>598.2812738647026</v>
      </c>
      <c r="L184" s="350">
        <f t="shared" si="18"/>
        <v>160</v>
      </c>
      <c r="N184" s="350"/>
      <c r="O184" s="398">
        <f>+VLOOKUP(C184,Pop_ISTAT!$A$10:$J$273,10,FALSE)</f>
        <v>3361</v>
      </c>
    </row>
    <row r="185" spans="1:17">
      <c r="A185" s="348">
        <v>167</v>
      </c>
      <c r="B185" s="348" t="s">
        <v>311</v>
      </c>
      <c r="C185" s="348" t="s">
        <v>477</v>
      </c>
      <c r="D185" s="349">
        <v>3191</v>
      </c>
      <c r="E185" s="348">
        <v>0.04</v>
      </c>
      <c r="F185" s="381"/>
      <c r="G185" s="350">
        <f t="shared" si="19"/>
        <v>16553.401769911521</v>
      </c>
      <c r="H185" s="384">
        <f t="shared" si="14"/>
        <v>1.9999000049997486E-3</v>
      </c>
      <c r="I185" s="350">
        <f t="shared" si="15"/>
        <v>795.71347083558021</v>
      </c>
      <c r="J185" s="350">
        <f t="shared" si="16"/>
        <v>198.92836770889505</v>
      </c>
      <c r="K185" s="350">
        <f t="shared" si="17"/>
        <v>596.78510312668516</v>
      </c>
      <c r="L185" s="350">
        <f t="shared" si="18"/>
        <v>160</v>
      </c>
      <c r="N185" s="350"/>
      <c r="O185" s="398">
        <f>+VLOOKUP(C185,Pop_ISTAT!$A$10:$J$273,10,FALSE)</f>
        <v>7502</v>
      </c>
    </row>
    <row r="186" spans="1:17">
      <c r="A186" s="348">
        <v>168</v>
      </c>
      <c r="B186" s="348" t="s">
        <v>311</v>
      </c>
      <c r="C186" s="348" t="s">
        <v>478</v>
      </c>
      <c r="D186" s="349">
        <v>3150</v>
      </c>
      <c r="E186" s="348">
        <v>3.9E-2</v>
      </c>
      <c r="F186" s="381"/>
      <c r="G186" s="350">
        <f t="shared" si="19"/>
        <v>16139.566725663732</v>
      </c>
      <c r="H186" s="384">
        <f t="shared" si="14"/>
        <v>1.9499025048747547E-3</v>
      </c>
      <c r="I186" s="350">
        <f t="shared" si="15"/>
        <v>785.48963745912806</v>
      </c>
      <c r="J186" s="350">
        <f t="shared" si="16"/>
        <v>196.37240936478202</v>
      </c>
      <c r="K186" s="350">
        <f t="shared" si="17"/>
        <v>589.11722809434605</v>
      </c>
      <c r="L186" s="350">
        <f t="shared" si="18"/>
        <v>156</v>
      </c>
      <c r="N186" s="350"/>
      <c r="O186" s="398">
        <f>+VLOOKUP(C186,Pop_ISTAT!$A$10:$J$273,10,FALSE)</f>
        <v>8576</v>
      </c>
    </row>
    <row r="187" spans="1:17">
      <c r="A187" s="348">
        <v>169</v>
      </c>
      <c r="B187" s="348" t="s">
        <v>311</v>
      </c>
      <c r="C187" s="348" t="s">
        <v>479</v>
      </c>
      <c r="D187" s="349">
        <v>3122</v>
      </c>
      <c r="E187" s="348">
        <v>3.9E-2</v>
      </c>
      <c r="F187" s="381"/>
      <c r="G187" s="350">
        <f t="shared" si="19"/>
        <v>16139.566725663732</v>
      </c>
      <c r="H187" s="384">
        <f t="shared" si="14"/>
        <v>1.9499025048747547E-3</v>
      </c>
      <c r="I187" s="350">
        <f t="shared" si="15"/>
        <v>778.50750734838027</v>
      </c>
      <c r="J187" s="350">
        <f t="shared" si="16"/>
        <v>194.62687683709507</v>
      </c>
      <c r="K187" s="350">
        <f t="shared" si="17"/>
        <v>583.88063051128518</v>
      </c>
      <c r="L187" s="350">
        <f t="shared" si="18"/>
        <v>156</v>
      </c>
      <c r="N187" s="350"/>
      <c r="O187" s="398">
        <f>+VLOOKUP(C187,Pop_ISTAT!$A$10:$J$273,10,FALSE)</f>
        <v>5025</v>
      </c>
    </row>
    <row r="188" spans="1:17">
      <c r="A188" s="348">
        <v>170</v>
      </c>
      <c r="B188" s="348" t="s">
        <v>311</v>
      </c>
      <c r="C188" s="348" t="s">
        <v>480</v>
      </c>
      <c r="D188" s="349">
        <v>3108</v>
      </c>
      <c r="E188" s="348">
        <v>3.9E-2</v>
      </c>
      <c r="F188" s="381"/>
      <c r="G188" s="350">
        <f t="shared" si="19"/>
        <v>16139.566725663732</v>
      </c>
      <c r="H188" s="384">
        <f t="shared" si="14"/>
        <v>1.9499025048747547E-3</v>
      </c>
      <c r="I188" s="350">
        <f t="shared" si="15"/>
        <v>775.01644229300632</v>
      </c>
      <c r="J188" s="350">
        <f t="shared" si="16"/>
        <v>193.75411057325158</v>
      </c>
      <c r="K188" s="350">
        <f t="shared" si="17"/>
        <v>581.26233171975468</v>
      </c>
      <c r="L188" s="350">
        <f t="shared" si="18"/>
        <v>156</v>
      </c>
      <c r="N188" s="350"/>
      <c r="O188" s="398">
        <f>+VLOOKUP(C188,Pop_ISTAT!$A$10:$J$273,10,FALSE)</f>
        <v>6566</v>
      </c>
    </row>
    <row r="189" spans="1:17">
      <c r="A189" s="348">
        <v>171</v>
      </c>
      <c r="B189" s="348" t="s">
        <v>311</v>
      </c>
      <c r="C189" s="348" t="s">
        <v>481</v>
      </c>
      <c r="D189" s="349">
        <v>3098</v>
      </c>
      <c r="E189" s="348">
        <v>3.9E-2</v>
      </c>
      <c r="F189" s="381"/>
      <c r="G189" s="350">
        <f t="shared" si="19"/>
        <v>16139.566725663732</v>
      </c>
      <c r="H189" s="384">
        <f t="shared" si="14"/>
        <v>1.9499025048747547E-3</v>
      </c>
      <c r="I189" s="350">
        <f t="shared" si="15"/>
        <v>772.52282439631074</v>
      </c>
      <c r="J189" s="350">
        <f t="shared" si="16"/>
        <v>193.13070609907768</v>
      </c>
      <c r="K189" s="350">
        <f t="shared" si="17"/>
        <v>579.39211829723308</v>
      </c>
      <c r="L189" s="350">
        <f t="shared" si="18"/>
        <v>156</v>
      </c>
      <c r="N189" s="350"/>
      <c r="O189" s="398">
        <f>+VLOOKUP(C189,Pop_ISTAT!$A$10:$J$273,10,FALSE)</f>
        <v>5100</v>
      </c>
    </row>
    <row r="190" spans="1:17">
      <c r="A190" s="348">
        <v>172</v>
      </c>
      <c r="B190" s="348" t="s">
        <v>311</v>
      </c>
      <c r="C190" s="348" t="s">
        <v>482</v>
      </c>
      <c r="D190" s="349">
        <v>3068</v>
      </c>
      <c r="E190" s="348">
        <v>3.7999999999999999E-2</v>
      </c>
      <c r="F190" s="381"/>
      <c r="G190" s="350">
        <f t="shared" si="19"/>
        <v>15725.731681415942</v>
      </c>
      <c r="H190" s="384">
        <f t="shared" si="14"/>
        <v>1.8999050047497608E-3</v>
      </c>
      <c r="I190" s="350">
        <f t="shared" si="15"/>
        <v>765.04197070622376</v>
      </c>
      <c r="J190" s="350">
        <f t="shared" si="16"/>
        <v>191.26049267655594</v>
      </c>
      <c r="K190" s="350">
        <f t="shared" si="17"/>
        <v>573.78147802966782</v>
      </c>
      <c r="L190" s="350">
        <f t="shared" si="18"/>
        <v>152</v>
      </c>
      <c r="N190" s="350"/>
      <c r="O190" s="398">
        <f>+VLOOKUP(C190,Pop_ISTAT!$A$10:$J$273,10,FALSE)</f>
        <v>4063</v>
      </c>
    </row>
    <row r="191" spans="1:17">
      <c r="A191" s="348">
        <v>173</v>
      </c>
      <c r="B191" s="348" t="s">
        <v>307</v>
      </c>
      <c r="C191" s="348" t="s">
        <v>483</v>
      </c>
      <c r="D191" s="349">
        <v>2992</v>
      </c>
      <c r="E191" s="348">
        <v>3.6999999999999998E-2</v>
      </c>
      <c r="F191" s="381"/>
      <c r="G191" s="350">
        <f t="shared" si="19"/>
        <v>15311.896637168154</v>
      </c>
      <c r="H191" s="384">
        <f t="shared" si="14"/>
        <v>1.8499075046247673E-3</v>
      </c>
      <c r="I191" s="350">
        <f t="shared" si="15"/>
        <v>746.09047469133691</v>
      </c>
      <c r="J191" s="350">
        <f t="shared" si="16"/>
        <v>186.52261867283423</v>
      </c>
      <c r="K191" s="350">
        <f t="shared" si="17"/>
        <v>559.56785601850265</v>
      </c>
      <c r="L191" s="350">
        <f t="shared" si="18"/>
        <v>148</v>
      </c>
      <c r="N191" s="350"/>
      <c r="O191" s="398">
        <f>+VLOOKUP(C191,Pop_ISTAT!$A$10:$J$273,10,FALSE)</f>
        <v>7493</v>
      </c>
    </row>
    <row r="192" spans="1:17">
      <c r="A192" s="378">
        <v>174</v>
      </c>
      <c r="B192" s="378" t="s">
        <v>309</v>
      </c>
      <c r="C192" s="378" t="s">
        <v>484</v>
      </c>
      <c r="D192" s="379">
        <v>2982</v>
      </c>
      <c r="E192" s="378">
        <v>3.6999999999999998E-2</v>
      </c>
      <c r="F192" s="382" t="s">
        <v>619</v>
      </c>
      <c r="G192" s="380">
        <f t="shared" si="19"/>
        <v>15311.896637168154</v>
      </c>
      <c r="H192" s="385">
        <f t="shared" si="14"/>
        <v>1.8499075046247673E-3</v>
      </c>
      <c r="I192" s="380">
        <f t="shared" si="15"/>
        <v>743.59685679464121</v>
      </c>
      <c r="J192" s="380">
        <f t="shared" si="16"/>
        <v>185.8992141986603</v>
      </c>
      <c r="K192" s="380">
        <f t="shared" si="17"/>
        <v>557.69764259598094</v>
      </c>
      <c r="L192" s="380">
        <f t="shared" si="18"/>
        <v>148</v>
      </c>
      <c r="M192" s="400"/>
      <c r="N192" s="380"/>
      <c r="O192" s="401">
        <f>+VLOOKUP(C192,Pop_ISTAT!$A$10:$J$273,10,FALSE)</f>
        <v>5351</v>
      </c>
      <c r="P192" s="400"/>
      <c r="Q192" s="402">
        <f>+O192</f>
        <v>5351</v>
      </c>
    </row>
    <row r="193" spans="1:15">
      <c r="A193" s="348">
        <v>175</v>
      </c>
      <c r="B193" s="348" t="s">
        <v>307</v>
      </c>
      <c r="C193" s="348" t="s">
        <v>485</v>
      </c>
      <c r="D193" s="349">
        <v>2977</v>
      </c>
      <c r="E193" s="348">
        <v>3.6999999999999998E-2</v>
      </c>
      <c r="F193" s="381"/>
      <c r="G193" s="350">
        <f t="shared" si="19"/>
        <v>15311.896637168154</v>
      </c>
      <c r="H193" s="384">
        <f t="shared" si="14"/>
        <v>1.8499075046247673E-3</v>
      </c>
      <c r="I193" s="350">
        <f t="shared" si="15"/>
        <v>742.35004784629336</v>
      </c>
      <c r="J193" s="350">
        <f t="shared" si="16"/>
        <v>185.58751196157334</v>
      </c>
      <c r="K193" s="350">
        <f t="shared" si="17"/>
        <v>556.76253588472002</v>
      </c>
      <c r="L193" s="350">
        <f t="shared" si="18"/>
        <v>148</v>
      </c>
      <c r="N193" s="350"/>
      <c r="O193" s="398">
        <f>+VLOOKUP(C193,Pop_ISTAT!$A$10:$J$273,10,FALSE)</f>
        <v>15156</v>
      </c>
    </row>
    <row r="194" spans="1:15">
      <c r="A194" s="348">
        <v>176</v>
      </c>
      <c r="B194" s="348" t="s">
        <v>309</v>
      </c>
      <c r="C194" s="348" t="s">
        <v>486</v>
      </c>
      <c r="D194" s="349">
        <v>2970</v>
      </c>
      <c r="E194" s="348">
        <v>3.6999999999999998E-2</v>
      </c>
      <c r="F194" s="381"/>
      <c r="G194" s="350">
        <f t="shared" si="19"/>
        <v>15311.896637168154</v>
      </c>
      <c r="H194" s="384">
        <f t="shared" si="14"/>
        <v>1.8499075046247673E-3</v>
      </c>
      <c r="I194" s="350">
        <f t="shared" si="15"/>
        <v>740.60451531860645</v>
      </c>
      <c r="J194" s="350">
        <f t="shared" si="16"/>
        <v>185.15112882965161</v>
      </c>
      <c r="K194" s="350">
        <f t="shared" si="17"/>
        <v>555.45338648895483</v>
      </c>
      <c r="L194" s="350">
        <f t="shared" si="18"/>
        <v>148</v>
      </c>
      <c r="N194" s="350"/>
      <c r="O194" s="398">
        <f>+VLOOKUP(C194,Pop_ISTAT!$A$10:$J$273,10,FALSE)</f>
        <v>5875</v>
      </c>
    </row>
    <row r="195" spans="1:15">
      <c r="A195" s="348">
        <v>177</v>
      </c>
      <c r="B195" s="348" t="s">
        <v>309</v>
      </c>
      <c r="C195" s="348" t="s">
        <v>487</v>
      </c>
      <c r="D195" s="349">
        <v>2952</v>
      </c>
      <c r="E195" s="348">
        <v>3.6999999999999998E-2</v>
      </c>
      <c r="F195" s="381"/>
      <c r="G195" s="350">
        <f t="shared" si="19"/>
        <v>15311.896637168154</v>
      </c>
      <c r="H195" s="384">
        <f t="shared" si="14"/>
        <v>1.8499075046247673E-3</v>
      </c>
      <c r="I195" s="350">
        <f t="shared" si="15"/>
        <v>736.11600310455424</v>
      </c>
      <c r="J195" s="350">
        <f t="shared" si="16"/>
        <v>184.02900077613856</v>
      </c>
      <c r="K195" s="350">
        <f t="shared" si="17"/>
        <v>552.08700232841568</v>
      </c>
      <c r="L195" s="350">
        <f t="shared" si="18"/>
        <v>148</v>
      </c>
      <c r="N195" s="350"/>
      <c r="O195" s="398">
        <f>+VLOOKUP(C195,Pop_ISTAT!$A$10:$J$273,10,FALSE)</f>
        <v>1257</v>
      </c>
    </row>
    <row r="196" spans="1:15">
      <c r="A196" s="348">
        <v>178</v>
      </c>
      <c r="B196" s="348" t="s">
        <v>307</v>
      </c>
      <c r="C196" s="348" t="s">
        <v>488</v>
      </c>
      <c r="D196" s="349">
        <v>2930</v>
      </c>
      <c r="E196" s="348">
        <v>3.6999999999999998E-2</v>
      </c>
      <c r="F196" s="381"/>
      <c r="G196" s="350">
        <f t="shared" si="19"/>
        <v>15311.896637168154</v>
      </c>
      <c r="H196" s="384">
        <f t="shared" si="14"/>
        <v>1.8499075046247673E-3</v>
      </c>
      <c r="I196" s="350">
        <f t="shared" si="15"/>
        <v>730.63004373182389</v>
      </c>
      <c r="J196" s="350">
        <f t="shared" si="16"/>
        <v>182.65751093295597</v>
      </c>
      <c r="K196" s="350">
        <f t="shared" si="17"/>
        <v>547.97253279886786</v>
      </c>
      <c r="L196" s="350">
        <f t="shared" si="18"/>
        <v>148</v>
      </c>
      <c r="N196" s="350"/>
      <c r="O196" s="398">
        <f>+VLOOKUP(C196,Pop_ISTAT!$A$10:$J$273,10,FALSE)</f>
        <v>4084</v>
      </c>
    </row>
    <row r="197" spans="1:15">
      <c r="A197" s="348">
        <v>179</v>
      </c>
      <c r="B197" s="348" t="s">
        <v>311</v>
      </c>
      <c r="C197" s="348" t="s">
        <v>489</v>
      </c>
      <c r="D197" s="349">
        <v>2912</v>
      </c>
      <c r="E197" s="348">
        <v>3.5999999999999997E-2</v>
      </c>
      <c r="F197" s="381"/>
      <c r="G197" s="350">
        <f t="shared" si="19"/>
        <v>14898.061592920365</v>
      </c>
      <c r="H197" s="384">
        <f t="shared" si="14"/>
        <v>1.7999100044997734E-3</v>
      </c>
      <c r="I197" s="350">
        <f t="shared" si="15"/>
        <v>726.14153151777168</v>
      </c>
      <c r="J197" s="350">
        <f t="shared" si="16"/>
        <v>181.53538287944292</v>
      </c>
      <c r="K197" s="350">
        <f t="shared" si="17"/>
        <v>544.6061486383287</v>
      </c>
      <c r="L197" s="350">
        <f t="shared" si="18"/>
        <v>143.99999999999997</v>
      </c>
      <c r="N197" s="350"/>
      <c r="O197" s="398">
        <f>+VLOOKUP(C197,Pop_ISTAT!$A$10:$J$273,10,FALSE)</f>
        <v>5071</v>
      </c>
    </row>
    <row r="198" spans="1:15">
      <c r="A198" s="348">
        <v>180</v>
      </c>
      <c r="B198" s="348" t="s">
        <v>311</v>
      </c>
      <c r="C198" s="348" t="s">
        <v>490</v>
      </c>
      <c r="D198" s="349">
        <v>2911</v>
      </c>
      <c r="E198" s="348">
        <v>3.5999999999999997E-2</v>
      </c>
      <c r="F198" s="381"/>
      <c r="G198" s="350">
        <f t="shared" si="19"/>
        <v>14898.061592920365</v>
      </c>
      <c r="H198" s="384">
        <f t="shared" si="14"/>
        <v>1.7999100044997734E-3</v>
      </c>
      <c r="I198" s="350">
        <f t="shared" si="15"/>
        <v>725.89216972810209</v>
      </c>
      <c r="J198" s="350">
        <f t="shared" si="16"/>
        <v>181.47304243202552</v>
      </c>
      <c r="K198" s="350">
        <f t="shared" si="17"/>
        <v>544.41912729607657</v>
      </c>
      <c r="L198" s="350">
        <f t="shared" si="18"/>
        <v>143.99999999999997</v>
      </c>
      <c r="N198" s="350"/>
      <c r="O198" s="398">
        <f>+VLOOKUP(C198,Pop_ISTAT!$A$10:$J$273,10,FALSE)</f>
        <v>3418</v>
      </c>
    </row>
    <row r="199" spans="1:15">
      <c r="A199" s="348">
        <v>181</v>
      </c>
      <c r="B199" s="348" t="s">
        <v>311</v>
      </c>
      <c r="C199" s="348" t="s">
        <v>491</v>
      </c>
      <c r="D199" s="349">
        <v>2874</v>
      </c>
      <c r="E199" s="348">
        <v>3.5999999999999997E-2</v>
      </c>
      <c r="F199" s="381"/>
      <c r="G199" s="350">
        <f t="shared" si="19"/>
        <v>14898.061592920365</v>
      </c>
      <c r="H199" s="384">
        <f t="shared" si="14"/>
        <v>1.7999100044997734E-3</v>
      </c>
      <c r="I199" s="350">
        <f t="shared" si="15"/>
        <v>716.66578351032831</v>
      </c>
      <c r="J199" s="350">
        <f t="shared" si="16"/>
        <v>179.16644587758208</v>
      </c>
      <c r="K199" s="350">
        <f t="shared" si="17"/>
        <v>537.49933763274623</v>
      </c>
      <c r="L199" s="350">
        <f t="shared" si="18"/>
        <v>143.99999999999997</v>
      </c>
      <c r="N199" s="350"/>
      <c r="O199" s="398">
        <f>+VLOOKUP(C199,Pop_ISTAT!$A$10:$J$273,10,FALSE)</f>
        <v>3813</v>
      </c>
    </row>
    <row r="200" spans="1:15">
      <c r="A200" s="348">
        <v>182</v>
      </c>
      <c r="B200" s="348" t="s">
        <v>309</v>
      </c>
      <c r="C200" s="348" t="s">
        <v>492</v>
      </c>
      <c r="D200" s="349">
        <v>2860</v>
      </c>
      <c r="E200" s="348">
        <v>3.5999999999999997E-2</v>
      </c>
      <c r="F200" s="381"/>
      <c r="G200" s="350">
        <f t="shared" si="19"/>
        <v>14898.061592920365</v>
      </c>
      <c r="H200" s="384">
        <f t="shared" si="14"/>
        <v>1.7999100044997734E-3</v>
      </c>
      <c r="I200" s="350">
        <f t="shared" si="15"/>
        <v>713.17471845495436</v>
      </c>
      <c r="J200" s="350">
        <f t="shared" si="16"/>
        <v>178.29367961373859</v>
      </c>
      <c r="K200" s="350">
        <f t="shared" si="17"/>
        <v>534.88103884121574</v>
      </c>
      <c r="L200" s="350">
        <f t="shared" si="18"/>
        <v>143.99999999999997</v>
      </c>
      <c r="N200" s="350"/>
      <c r="O200" s="398">
        <f>+VLOOKUP(C200,Pop_ISTAT!$A$10:$J$273,10,FALSE)</f>
        <v>6549</v>
      </c>
    </row>
    <row r="201" spans="1:15">
      <c r="A201" s="348">
        <v>183</v>
      </c>
      <c r="B201" s="348" t="s">
        <v>311</v>
      </c>
      <c r="C201" s="348" t="s">
        <v>493</v>
      </c>
      <c r="D201" s="349">
        <v>2843</v>
      </c>
      <c r="E201" s="348">
        <v>3.5000000000000003E-2</v>
      </c>
      <c r="F201" s="381"/>
      <c r="G201" s="350">
        <f t="shared" si="19"/>
        <v>14484.226548672579</v>
      </c>
      <c r="H201" s="384">
        <f t="shared" si="14"/>
        <v>1.74991250437478E-3</v>
      </c>
      <c r="I201" s="350">
        <f t="shared" si="15"/>
        <v>708.93556803057174</v>
      </c>
      <c r="J201" s="350">
        <f t="shared" si="16"/>
        <v>177.23389200764294</v>
      </c>
      <c r="K201" s="350">
        <f t="shared" si="17"/>
        <v>531.70167602292884</v>
      </c>
      <c r="L201" s="350">
        <f t="shared" si="18"/>
        <v>140.00000000000003</v>
      </c>
      <c r="N201" s="350"/>
      <c r="O201" s="398">
        <f>+VLOOKUP(C201,Pop_ISTAT!$A$10:$J$273,10,FALSE)</f>
        <v>3648</v>
      </c>
    </row>
    <row r="202" spans="1:15">
      <c r="A202" s="348">
        <v>184</v>
      </c>
      <c r="B202" s="348" t="s">
        <v>311</v>
      </c>
      <c r="C202" s="348" t="s">
        <v>494</v>
      </c>
      <c r="D202" s="349">
        <v>2740</v>
      </c>
      <c r="E202" s="348">
        <v>3.4000000000000002E-2</v>
      </c>
      <c r="F202" s="381"/>
      <c r="G202" s="350">
        <f t="shared" si="19"/>
        <v>14070.391504424793</v>
      </c>
      <c r="H202" s="384">
        <f t="shared" si="14"/>
        <v>1.6999150042497865E-3</v>
      </c>
      <c r="I202" s="350">
        <f t="shared" si="15"/>
        <v>683.25130369460658</v>
      </c>
      <c r="J202" s="350">
        <f t="shared" si="16"/>
        <v>170.81282592365164</v>
      </c>
      <c r="K202" s="350">
        <f t="shared" si="17"/>
        <v>512.43847777095493</v>
      </c>
      <c r="L202" s="350">
        <f t="shared" si="18"/>
        <v>136.00000000000003</v>
      </c>
      <c r="N202" s="350"/>
      <c r="O202" s="398">
        <f>+VLOOKUP(C202,Pop_ISTAT!$A$10:$J$273,10,FALSE)</f>
        <v>3843</v>
      </c>
    </row>
    <row r="203" spans="1:15">
      <c r="A203" s="348">
        <v>185</v>
      </c>
      <c r="B203" s="348" t="s">
        <v>311</v>
      </c>
      <c r="C203" s="348" t="s">
        <v>495</v>
      </c>
      <c r="D203" s="349">
        <v>2684</v>
      </c>
      <c r="E203" s="348">
        <v>3.3000000000000002E-2</v>
      </c>
      <c r="F203" s="381"/>
      <c r="G203" s="350">
        <f t="shared" si="19"/>
        <v>13656.556460177006</v>
      </c>
      <c r="H203" s="384">
        <f t="shared" si="14"/>
        <v>1.6499175041247928E-3</v>
      </c>
      <c r="I203" s="350">
        <f t="shared" si="15"/>
        <v>669.287043473111</v>
      </c>
      <c r="J203" s="350">
        <f t="shared" si="16"/>
        <v>167.32176086827775</v>
      </c>
      <c r="K203" s="350">
        <f t="shared" si="17"/>
        <v>501.96528260483325</v>
      </c>
      <c r="L203" s="350">
        <f t="shared" si="18"/>
        <v>132</v>
      </c>
      <c r="N203" s="350"/>
      <c r="O203" s="398">
        <f>+VLOOKUP(C203,Pop_ISTAT!$A$10:$J$273,10,FALSE)</f>
        <v>2316</v>
      </c>
    </row>
    <row r="204" spans="1:15">
      <c r="A204" s="348">
        <v>186</v>
      </c>
      <c r="B204" s="348" t="s">
        <v>311</v>
      </c>
      <c r="C204" s="348" t="s">
        <v>496</v>
      </c>
      <c r="D204" s="349">
        <v>2617</v>
      </c>
      <c r="E204" s="348">
        <v>3.3000000000000002E-2</v>
      </c>
      <c r="F204" s="381"/>
      <c r="G204" s="350">
        <f t="shared" si="19"/>
        <v>13656.556460177006</v>
      </c>
      <c r="H204" s="384">
        <f t="shared" si="14"/>
        <v>1.6499175041247928E-3</v>
      </c>
      <c r="I204" s="350">
        <f t="shared" si="15"/>
        <v>652.57980356525024</v>
      </c>
      <c r="J204" s="350">
        <f t="shared" si="16"/>
        <v>163.14495089131256</v>
      </c>
      <c r="K204" s="350">
        <f t="shared" si="17"/>
        <v>489.43485267393771</v>
      </c>
      <c r="L204" s="350">
        <f t="shared" si="18"/>
        <v>132</v>
      </c>
      <c r="N204" s="350"/>
      <c r="O204" s="398">
        <f>+VLOOKUP(C204,Pop_ISTAT!$A$10:$J$273,10,FALSE)</f>
        <v>4641</v>
      </c>
    </row>
    <row r="205" spans="1:15">
      <c r="A205" s="348">
        <v>187</v>
      </c>
      <c r="B205" s="348" t="s">
        <v>309</v>
      </c>
      <c r="C205" s="348" t="s">
        <v>497</v>
      </c>
      <c r="D205" s="349">
        <v>2600</v>
      </c>
      <c r="E205" s="348">
        <v>3.2000000000000001E-2</v>
      </c>
      <c r="F205" s="381"/>
      <c r="G205" s="350">
        <f t="shared" si="19"/>
        <v>13242.721415929216</v>
      </c>
      <c r="H205" s="384">
        <f t="shared" si="14"/>
        <v>1.5999200039997989E-3</v>
      </c>
      <c r="I205" s="350">
        <f t="shared" si="15"/>
        <v>648.34065314086763</v>
      </c>
      <c r="J205" s="350">
        <f t="shared" si="16"/>
        <v>162.08516328521691</v>
      </c>
      <c r="K205" s="350">
        <f t="shared" si="17"/>
        <v>486.25548985565069</v>
      </c>
      <c r="L205" s="350">
        <f t="shared" si="18"/>
        <v>128</v>
      </c>
      <c r="N205" s="350"/>
      <c r="O205" s="398">
        <f>+VLOOKUP(C205,Pop_ISTAT!$A$10:$J$273,10,FALSE)</f>
        <v>3577</v>
      </c>
    </row>
    <row r="206" spans="1:15">
      <c r="A206" s="348">
        <v>188</v>
      </c>
      <c r="B206" s="348" t="s">
        <v>311</v>
      </c>
      <c r="C206" s="348" t="s">
        <v>498</v>
      </c>
      <c r="D206" s="349">
        <v>2564</v>
      </c>
      <c r="E206" s="348">
        <v>3.2000000000000001E-2</v>
      </c>
      <c r="F206" s="381"/>
      <c r="G206" s="350">
        <f t="shared" si="19"/>
        <v>13242.721415929216</v>
      </c>
      <c r="H206" s="384">
        <f t="shared" si="14"/>
        <v>1.5999200039997989E-3</v>
      </c>
      <c r="I206" s="350">
        <f t="shared" si="15"/>
        <v>639.36362871276333</v>
      </c>
      <c r="J206" s="350">
        <f t="shared" si="16"/>
        <v>159.84090717819083</v>
      </c>
      <c r="K206" s="350">
        <f t="shared" si="17"/>
        <v>479.5227215345725</v>
      </c>
      <c r="L206" s="350">
        <f t="shared" si="18"/>
        <v>128</v>
      </c>
      <c r="N206" s="350"/>
      <c r="O206" s="398">
        <f>+VLOOKUP(C206,Pop_ISTAT!$A$10:$J$273,10,FALSE)</f>
        <v>2167</v>
      </c>
    </row>
    <row r="207" spans="1:15">
      <c r="A207" s="348">
        <v>189</v>
      </c>
      <c r="B207" s="348" t="s">
        <v>309</v>
      </c>
      <c r="C207" s="348" t="s">
        <v>499</v>
      </c>
      <c r="D207" s="349">
        <v>2540</v>
      </c>
      <c r="E207" s="348">
        <v>3.2000000000000001E-2</v>
      </c>
      <c r="F207" s="381"/>
      <c r="G207" s="350">
        <f t="shared" si="19"/>
        <v>13242.721415929216</v>
      </c>
      <c r="H207" s="384">
        <f t="shared" si="14"/>
        <v>1.5999200039997989E-3</v>
      </c>
      <c r="I207" s="350">
        <f t="shared" si="15"/>
        <v>633.37894576069368</v>
      </c>
      <c r="J207" s="350">
        <f t="shared" si="16"/>
        <v>158.34473644017342</v>
      </c>
      <c r="K207" s="350">
        <f t="shared" si="17"/>
        <v>475.03420932052029</v>
      </c>
      <c r="L207" s="350">
        <f t="shared" si="18"/>
        <v>128</v>
      </c>
      <c r="N207" s="350"/>
      <c r="O207" s="398">
        <f>+VLOOKUP(C207,Pop_ISTAT!$A$10:$J$273,10,FALSE)</f>
        <v>5357</v>
      </c>
    </row>
    <row r="208" spans="1:15">
      <c r="A208" s="348">
        <v>190</v>
      </c>
      <c r="B208" s="348" t="s">
        <v>311</v>
      </c>
      <c r="C208" s="348" t="s">
        <v>500</v>
      </c>
      <c r="D208" s="349">
        <v>2525</v>
      </c>
      <c r="E208" s="348">
        <v>3.1E-2</v>
      </c>
      <c r="F208" s="381"/>
      <c r="G208" s="350">
        <f t="shared" si="19"/>
        <v>12828.886371681428</v>
      </c>
      <c r="H208" s="384">
        <f t="shared" si="14"/>
        <v>1.5499225038748052E-3</v>
      </c>
      <c r="I208" s="350">
        <f t="shared" si="15"/>
        <v>629.63851891565025</v>
      </c>
      <c r="J208" s="350">
        <f t="shared" si="16"/>
        <v>157.40962972891256</v>
      </c>
      <c r="K208" s="350">
        <f t="shared" si="17"/>
        <v>472.22888918673766</v>
      </c>
      <c r="L208" s="350">
        <f t="shared" si="18"/>
        <v>124</v>
      </c>
      <c r="N208" s="350"/>
      <c r="O208" s="398">
        <f>+VLOOKUP(C208,Pop_ISTAT!$A$10:$J$273,10,FALSE)</f>
        <v>4815</v>
      </c>
    </row>
    <row r="209" spans="1:17">
      <c r="A209" s="348">
        <v>191</v>
      </c>
      <c r="B209" s="348" t="s">
        <v>311</v>
      </c>
      <c r="C209" s="348" t="s">
        <v>501</v>
      </c>
      <c r="D209" s="349">
        <v>2481</v>
      </c>
      <c r="E209" s="348">
        <v>3.1E-2</v>
      </c>
      <c r="F209" s="381"/>
      <c r="G209" s="350">
        <f t="shared" si="19"/>
        <v>12828.886371681428</v>
      </c>
      <c r="H209" s="384">
        <f t="shared" si="14"/>
        <v>1.5499225038748052E-3</v>
      </c>
      <c r="I209" s="350">
        <f t="shared" si="15"/>
        <v>618.66660017018944</v>
      </c>
      <c r="J209" s="350">
        <f t="shared" si="16"/>
        <v>154.66665004254736</v>
      </c>
      <c r="K209" s="350">
        <f t="shared" si="17"/>
        <v>463.99995012764208</v>
      </c>
      <c r="L209" s="350">
        <f t="shared" si="18"/>
        <v>124</v>
      </c>
      <c r="N209" s="350"/>
      <c r="O209" s="398">
        <f>+VLOOKUP(C209,Pop_ISTAT!$A$10:$J$273,10,FALSE)</f>
        <v>3398</v>
      </c>
    </row>
    <row r="210" spans="1:17">
      <c r="A210" s="348">
        <v>192</v>
      </c>
      <c r="B210" s="348" t="s">
        <v>311</v>
      </c>
      <c r="C210" s="348" t="s">
        <v>502</v>
      </c>
      <c r="D210" s="349">
        <v>2477</v>
      </c>
      <c r="E210" s="348">
        <v>3.1E-2</v>
      </c>
      <c r="F210" s="381"/>
      <c r="G210" s="350">
        <f t="shared" si="19"/>
        <v>12828.886371681428</v>
      </c>
      <c r="H210" s="384">
        <f t="shared" si="14"/>
        <v>1.5499225038748052E-3</v>
      </c>
      <c r="I210" s="350">
        <f t="shared" si="15"/>
        <v>617.66915301151118</v>
      </c>
      <c r="J210" s="350">
        <f t="shared" si="16"/>
        <v>154.4172882528778</v>
      </c>
      <c r="K210" s="350">
        <f t="shared" si="17"/>
        <v>463.25186475863336</v>
      </c>
      <c r="L210" s="350">
        <f t="shared" si="18"/>
        <v>124</v>
      </c>
      <c r="N210" s="350"/>
      <c r="O210" s="398">
        <f>+VLOOKUP(C210,Pop_ISTAT!$A$10:$J$273,10,FALSE)</f>
        <v>3218</v>
      </c>
    </row>
    <row r="211" spans="1:17">
      <c r="A211" s="348">
        <v>193</v>
      </c>
      <c r="B211" s="348" t="s">
        <v>309</v>
      </c>
      <c r="C211" s="348" t="s">
        <v>503</v>
      </c>
      <c r="D211" s="349">
        <v>2472</v>
      </c>
      <c r="E211" s="348">
        <v>3.1E-2</v>
      </c>
      <c r="F211" s="381"/>
      <c r="G211" s="350">
        <f t="shared" si="19"/>
        <v>12828.886371681428</v>
      </c>
      <c r="H211" s="384">
        <f t="shared" si="14"/>
        <v>1.5499225038748052E-3</v>
      </c>
      <c r="I211" s="350">
        <f t="shared" si="15"/>
        <v>616.42234406316334</v>
      </c>
      <c r="J211" s="350">
        <f t="shared" si="16"/>
        <v>154.10558601579083</v>
      </c>
      <c r="K211" s="350">
        <f t="shared" si="17"/>
        <v>462.3167580473725</v>
      </c>
      <c r="L211" s="350">
        <f t="shared" si="18"/>
        <v>124</v>
      </c>
      <c r="N211" s="350"/>
      <c r="O211" s="398">
        <f>+VLOOKUP(C211,Pop_ISTAT!$A$10:$J$273,10,FALSE)</f>
        <v>4075</v>
      </c>
    </row>
    <row r="212" spans="1:17">
      <c r="A212" s="348">
        <v>194</v>
      </c>
      <c r="B212" s="348" t="s">
        <v>309</v>
      </c>
      <c r="C212" s="348" t="s">
        <v>504</v>
      </c>
      <c r="D212" s="349">
        <v>2470</v>
      </c>
      <c r="E212" s="348">
        <v>3.1E-2</v>
      </c>
      <c r="F212" s="381"/>
      <c r="G212" s="350">
        <f t="shared" si="19"/>
        <v>12828.886371681428</v>
      </c>
      <c r="H212" s="384">
        <f t="shared" ref="H212:H275" si="20">+G212/$G$14</f>
        <v>1.5499225038748052E-3</v>
      </c>
      <c r="I212" s="350">
        <f t="shared" ref="I212:I275" si="21">+$D$10/$D$14*D212</f>
        <v>615.92362048382427</v>
      </c>
      <c r="J212" s="350">
        <f t="shared" ref="J212:J275" si="22">+I212*25%</f>
        <v>153.98090512095607</v>
      </c>
      <c r="K212" s="350">
        <f t="shared" ref="K212:K275" si="23">+I212-J212</f>
        <v>461.94271536286817</v>
      </c>
      <c r="L212" s="350">
        <f t="shared" ref="L212:L275" si="24">+$D$10*$E212/100</f>
        <v>124</v>
      </c>
      <c r="N212" s="350"/>
      <c r="O212" s="398">
        <f>+VLOOKUP(C212,Pop_ISTAT!$A$10:$J$273,10,FALSE)</f>
        <v>2563</v>
      </c>
    </row>
    <row r="213" spans="1:17">
      <c r="A213" s="348">
        <v>195</v>
      </c>
      <c r="B213" s="348" t="s">
        <v>311</v>
      </c>
      <c r="C213" s="348" t="s">
        <v>899</v>
      </c>
      <c r="D213" s="349">
        <v>2467</v>
      </c>
      <c r="E213" s="348">
        <v>3.1E-2</v>
      </c>
      <c r="F213" s="381"/>
      <c r="G213" s="350">
        <f t="shared" ref="G213:G275" si="25">+$D$6*E213/$E$14</f>
        <v>12828.886371681428</v>
      </c>
      <c r="H213" s="384">
        <f t="shared" si="20"/>
        <v>1.5499225038748052E-3</v>
      </c>
      <c r="I213" s="350">
        <f t="shared" si="21"/>
        <v>615.17553511481549</v>
      </c>
      <c r="J213" s="350">
        <f t="shared" si="22"/>
        <v>153.79388377870387</v>
      </c>
      <c r="K213" s="350">
        <f t="shared" si="23"/>
        <v>461.38165133611164</v>
      </c>
      <c r="L213" s="350">
        <f t="shared" si="24"/>
        <v>124</v>
      </c>
      <c r="N213" s="350"/>
      <c r="O213" s="398">
        <f>+VLOOKUP(C213,Pop_ISTAT!$A$10:$J$273,10,FALSE)</f>
        <v>3630</v>
      </c>
    </row>
    <row r="214" spans="1:17">
      <c r="A214" s="348">
        <v>196</v>
      </c>
      <c r="B214" s="348" t="s">
        <v>309</v>
      </c>
      <c r="C214" s="348" t="s">
        <v>505</v>
      </c>
      <c r="D214" s="349">
        <v>2436</v>
      </c>
      <c r="E214" s="348">
        <v>0.03</v>
      </c>
      <c r="F214" s="381"/>
      <c r="G214" s="350">
        <f t="shared" si="25"/>
        <v>12415.051327433639</v>
      </c>
      <c r="H214" s="384">
        <f t="shared" si="20"/>
        <v>1.4999250037498113E-3</v>
      </c>
      <c r="I214" s="350">
        <f t="shared" si="21"/>
        <v>607.44531963505904</v>
      </c>
      <c r="J214" s="350">
        <f t="shared" si="22"/>
        <v>151.86132990876476</v>
      </c>
      <c r="K214" s="350">
        <f t="shared" si="23"/>
        <v>455.58398972629425</v>
      </c>
      <c r="L214" s="350">
        <f t="shared" si="24"/>
        <v>120</v>
      </c>
      <c r="N214" s="350"/>
      <c r="O214" s="398">
        <f>+VLOOKUP(C214,Pop_ISTAT!$A$10:$J$273,10,FALSE)</f>
        <v>2472</v>
      </c>
    </row>
    <row r="215" spans="1:17">
      <c r="A215" s="348">
        <v>197</v>
      </c>
      <c r="B215" s="348" t="s">
        <v>307</v>
      </c>
      <c r="C215" s="348" t="s">
        <v>506</v>
      </c>
      <c r="D215" s="349">
        <v>2388</v>
      </c>
      <c r="E215" s="348">
        <v>0.03</v>
      </c>
      <c r="F215" s="381"/>
      <c r="G215" s="350">
        <f t="shared" si="25"/>
        <v>12415.051327433639</v>
      </c>
      <c r="H215" s="384">
        <f t="shared" si="20"/>
        <v>1.4999250037498113E-3</v>
      </c>
      <c r="I215" s="350">
        <f t="shared" si="21"/>
        <v>595.47595373091997</v>
      </c>
      <c r="J215" s="350">
        <f t="shared" si="22"/>
        <v>148.86898843272999</v>
      </c>
      <c r="K215" s="350">
        <f t="shared" si="23"/>
        <v>446.60696529818995</v>
      </c>
      <c r="L215" s="350">
        <f t="shared" si="24"/>
        <v>120</v>
      </c>
      <c r="N215" s="350"/>
      <c r="O215" s="398">
        <f>+VLOOKUP(C215,Pop_ISTAT!$A$10:$J$273,10,FALSE)</f>
        <v>4923</v>
      </c>
    </row>
    <row r="216" spans="1:17">
      <c r="A216" s="348">
        <v>198</v>
      </c>
      <c r="B216" s="348" t="s">
        <v>309</v>
      </c>
      <c r="C216" s="348" t="s">
        <v>507</v>
      </c>
      <c r="D216" s="349">
        <v>2348</v>
      </c>
      <c r="E216" s="348">
        <v>2.9000000000000001E-2</v>
      </c>
      <c r="F216" s="381"/>
      <c r="G216" s="350">
        <f t="shared" si="25"/>
        <v>12001.216283185853</v>
      </c>
      <c r="H216" s="384">
        <f t="shared" si="20"/>
        <v>1.4499275036248178E-3</v>
      </c>
      <c r="I216" s="350">
        <f t="shared" si="21"/>
        <v>585.5014821441373</v>
      </c>
      <c r="J216" s="350">
        <f t="shared" si="22"/>
        <v>146.37537053603432</v>
      </c>
      <c r="K216" s="350">
        <f t="shared" si="23"/>
        <v>439.12611160810297</v>
      </c>
      <c r="L216" s="350">
        <f t="shared" si="24"/>
        <v>116</v>
      </c>
      <c r="N216" s="350"/>
      <c r="O216" s="398">
        <f>+VLOOKUP(C216,Pop_ISTAT!$A$10:$J$273,10,FALSE)</f>
        <v>3743</v>
      </c>
    </row>
    <row r="217" spans="1:17">
      <c r="A217" s="348">
        <v>199</v>
      </c>
      <c r="B217" s="348" t="s">
        <v>311</v>
      </c>
      <c r="C217" s="348" t="s">
        <v>508</v>
      </c>
      <c r="D217" s="349">
        <v>2307</v>
      </c>
      <c r="E217" s="348">
        <v>2.9000000000000001E-2</v>
      </c>
      <c r="F217" s="381"/>
      <c r="G217" s="350">
        <f t="shared" si="25"/>
        <v>12001.216283185853</v>
      </c>
      <c r="H217" s="384">
        <f t="shared" si="20"/>
        <v>1.4499275036248178E-3</v>
      </c>
      <c r="I217" s="350">
        <f t="shared" si="21"/>
        <v>575.27764876768526</v>
      </c>
      <c r="J217" s="350">
        <f t="shared" si="22"/>
        <v>143.81941219192132</v>
      </c>
      <c r="K217" s="350">
        <f t="shared" si="23"/>
        <v>431.45823657576398</v>
      </c>
      <c r="L217" s="350">
        <f t="shared" si="24"/>
        <v>116</v>
      </c>
      <c r="N217" s="350"/>
      <c r="O217" s="398">
        <f>+VLOOKUP(C217,Pop_ISTAT!$A$10:$J$273,10,FALSE)</f>
        <v>2074</v>
      </c>
    </row>
    <row r="218" spans="1:17">
      <c r="A218" s="378">
        <v>200</v>
      </c>
      <c r="B218" s="378" t="s">
        <v>309</v>
      </c>
      <c r="C218" s="378" t="s">
        <v>509</v>
      </c>
      <c r="D218" s="379">
        <v>2255</v>
      </c>
      <c r="E218" s="378">
        <v>2.8000000000000001E-2</v>
      </c>
      <c r="F218" s="382" t="s">
        <v>619</v>
      </c>
      <c r="G218" s="380">
        <f t="shared" si="25"/>
        <v>11587.381238938064</v>
      </c>
      <c r="H218" s="385">
        <f t="shared" si="20"/>
        <v>1.3999300034998239E-3</v>
      </c>
      <c r="I218" s="380">
        <f t="shared" si="21"/>
        <v>562.31083570486783</v>
      </c>
      <c r="J218" s="380">
        <f t="shared" si="22"/>
        <v>140.57770892621696</v>
      </c>
      <c r="K218" s="380">
        <f t="shared" si="23"/>
        <v>421.7331267786509</v>
      </c>
      <c r="L218" s="380">
        <f t="shared" si="24"/>
        <v>112</v>
      </c>
      <c r="M218" s="400"/>
      <c r="N218" s="380"/>
      <c r="O218" s="401">
        <f>+VLOOKUP(C218,Pop_ISTAT!$A$10:$J$273,10,FALSE)</f>
        <v>5772</v>
      </c>
      <c r="P218" s="400"/>
      <c r="Q218" s="402">
        <f>+O218</f>
        <v>5772</v>
      </c>
    </row>
    <row r="219" spans="1:17">
      <c r="A219" s="348">
        <v>201</v>
      </c>
      <c r="B219" s="348" t="s">
        <v>311</v>
      </c>
      <c r="C219" s="348" t="s">
        <v>510</v>
      </c>
      <c r="D219" s="349">
        <v>2207</v>
      </c>
      <c r="E219" s="348">
        <v>2.8000000000000001E-2</v>
      </c>
      <c r="F219" s="381"/>
      <c r="G219" s="350">
        <f t="shared" si="25"/>
        <v>11587.381238938064</v>
      </c>
      <c r="H219" s="384">
        <f t="shared" si="20"/>
        <v>1.3999300034998239E-3</v>
      </c>
      <c r="I219" s="350">
        <f t="shared" si="21"/>
        <v>550.34146980072876</v>
      </c>
      <c r="J219" s="350">
        <f t="shared" si="22"/>
        <v>137.58536745018219</v>
      </c>
      <c r="K219" s="350">
        <f t="shared" si="23"/>
        <v>412.7561023505466</v>
      </c>
      <c r="L219" s="350">
        <f t="shared" si="24"/>
        <v>112</v>
      </c>
      <c r="N219" s="350"/>
      <c r="O219" s="398">
        <f>+VLOOKUP(C219,Pop_ISTAT!$A$10:$J$273,10,FALSE)</f>
        <v>2252</v>
      </c>
    </row>
    <row r="220" spans="1:17">
      <c r="A220" s="348">
        <v>202</v>
      </c>
      <c r="B220" s="348" t="s">
        <v>309</v>
      </c>
      <c r="C220" s="348" t="s">
        <v>511</v>
      </c>
      <c r="D220" s="349">
        <v>2203</v>
      </c>
      <c r="E220" s="348">
        <v>2.7E-2</v>
      </c>
      <c r="F220" s="381"/>
      <c r="G220" s="350">
        <f t="shared" si="25"/>
        <v>11173.546194690276</v>
      </c>
      <c r="H220" s="384">
        <f t="shared" si="20"/>
        <v>1.3499325033748304E-3</v>
      </c>
      <c r="I220" s="350">
        <f t="shared" si="21"/>
        <v>549.3440226420505</v>
      </c>
      <c r="J220" s="350">
        <f t="shared" si="22"/>
        <v>137.33600566051263</v>
      </c>
      <c r="K220" s="350">
        <f t="shared" si="23"/>
        <v>412.00801698153788</v>
      </c>
      <c r="L220" s="350">
        <f t="shared" si="24"/>
        <v>108</v>
      </c>
      <c r="N220" s="350"/>
      <c r="O220" s="398">
        <f>+VLOOKUP(C220,Pop_ISTAT!$A$10:$J$273,10,FALSE)</f>
        <v>4270</v>
      </c>
    </row>
    <row r="221" spans="1:17">
      <c r="A221" s="348">
        <v>203</v>
      </c>
      <c r="B221" s="348" t="s">
        <v>311</v>
      </c>
      <c r="C221" s="348" t="s">
        <v>512</v>
      </c>
      <c r="D221" s="349">
        <v>2191</v>
      </c>
      <c r="E221" s="348">
        <v>2.7E-2</v>
      </c>
      <c r="F221" s="381"/>
      <c r="G221" s="350">
        <f t="shared" si="25"/>
        <v>11173.546194690276</v>
      </c>
      <c r="H221" s="384">
        <f t="shared" si="20"/>
        <v>1.3499325033748304E-3</v>
      </c>
      <c r="I221" s="350">
        <f t="shared" si="21"/>
        <v>546.35168116601574</v>
      </c>
      <c r="J221" s="350">
        <f t="shared" si="22"/>
        <v>136.58792029150393</v>
      </c>
      <c r="K221" s="350">
        <f t="shared" si="23"/>
        <v>409.76376087451183</v>
      </c>
      <c r="L221" s="350">
        <f t="shared" si="24"/>
        <v>108</v>
      </c>
      <c r="N221" s="350"/>
      <c r="O221" s="398">
        <f>+VLOOKUP(C221,Pop_ISTAT!$A$10:$J$273,10,FALSE)</f>
        <v>1944</v>
      </c>
    </row>
    <row r="222" spans="1:17">
      <c r="A222" s="348">
        <v>204</v>
      </c>
      <c r="B222" s="348" t="s">
        <v>309</v>
      </c>
      <c r="C222" s="348" t="s">
        <v>513</v>
      </c>
      <c r="D222" s="349">
        <v>2180</v>
      </c>
      <c r="E222" s="348">
        <v>2.7E-2</v>
      </c>
      <c r="F222" s="381"/>
      <c r="G222" s="350">
        <f t="shared" si="25"/>
        <v>11173.546194690276</v>
      </c>
      <c r="H222" s="384">
        <f t="shared" si="20"/>
        <v>1.3499325033748304E-3</v>
      </c>
      <c r="I222" s="350">
        <f t="shared" si="21"/>
        <v>543.60870147965056</v>
      </c>
      <c r="J222" s="350">
        <f t="shared" si="22"/>
        <v>135.90217536991264</v>
      </c>
      <c r="K222" s="350">
        <f t="shared" si="23"/>
        <v>407.70652610973792</v>
      </c>
      <c r="L222" s="350">
        <f t="shared" si="24"/>
        <v>108</v>
      </c>
      <c r="N222" s="350"/>
      <c r="O222" s="398">
        <f>+VLOOKUP(C222,Pop_ISTAT!$A$10:$J$273,10,FALSE)</f>
        <v>2406</v>
      </c>
    </row>
    <row r="223" spans="1:17">
      <c r="A223" s="348">
        <v>205</v>
      </c>
      <c r="B223" s="348" t="s">
        <v>311</v>
      </c>
      <c r="C223" s="348" t="s">
        <v>514</v>
      </c>
      <c r="D223" s="349">
        <v>2165</v>
      </c>
      <c r="E223" s="348">
        <v>2.7E-2</v>
      </c>
      <c r="F223" s="381"/>
      <c r="G223" s="350">
        <f t="shared" si="25"/>
        <v>11173.546194690276</v>
      </c>
      <c r="H223" s="384">
        <f t="shared" si="20"/>
        <v>1.3499325033748304E-3</v>
      </c>
      <c r="I223" s="350">
        <f t="shared" si="21"/>
        <v>539.86827463460702</v>
      </c>
      <c r="J223" s="350">
        <f t="shared" si="22"/>
        <v>134.96706865865175</v>
      </c>
      <c r="K223" s="350">
        <f t="shared" si="23"/>
        <v>404.90120597595524</v>
      </c>
      <c r="L223" s="350">
        <f t="shared" si="24"/>
        <v>108</v>
      </c>
      <c r="N223" s="350"/>
      <c r="O223" s="398">
        <f>+VLOOKUP(C223,Pop_ISTAT!$A$10:$J$273,10,FALSE)</f>
        <v>5662</v>
      </c>
    </row>
    <row r="224" spans="1:17">
      <c r="A224" s="373">
        <v>206</v>
      </c>
      <c r="B224" s="373" t="s">
        <v>306</v>
      </c>
      <c r="C224" s="373" t="s">
        <v>515</v>
      </c>
      <c r="D224" s="403">
        <v>2160</v>
      </c>
      <c r="E224" s="373">
        <v>2.7E-2</v>
      </c>
      <c r="F224" s="404"/>
      <c r="G224" s="389">
        <f t="shared" si="25"/>
        <v>11173.546194690276</v>
      </c>
      <c r="H224" s="405">
        <f t="shared" si="20"/>
        <v>1.3499325033748304E-3</v>
      </c>
      <c r="I224" s="389">
        <f t="shared" si="21"/>
        <v>538.62146568625928</v>
      </c>
      <c r="J224" s="389">
        <f t="shared" si="22"/>
        <v>134.65536642156482</v>
      </c>
      <c r="K224" s="389">
        <f t="shared" si="23"/>
        <v>403.96609926469444</v>
      </c>
      <c r="L224" s="389">
        <f t="shared" si="24"/>
        <v>108</v>
      </c>
      <c r="M224" s="390" t="s">
        <v>623</v>
      </c>
      <c r="N224" s="389">
        <v>10000</v>
      </c>
      <c r="O224" s="406">
        <f>+VLOOKUP(C224,Pop_ISTAT!$A$10:$J$273,10,FALSE)</f>
        <v>5783</v>
      </c>
      <c r="P224" s="407">
        <f>+O224</f>
        <v>5783</v>
      </c>
      <c r="Q224" s="390"/>
    </row>
    <row r="225" spans="1:17">
      <c r="A225" s="348">
        <v>207</v>
      </c>
      <c r="B225" s="348" t="s">
        <v>311</v>
      </c>
      <c r="C225" s="348" t="s">
        <v>516</v>
      </c>
      <c r="D225" s="349">
        <v>2142</v>
      </c>
      <c r="E225" s="348">
        <v>2.7E-2</v>
      </c>
      <c r="F225" s="381"/>
      <c r="G225" s="350">
        <f t="shared" si="25"/>
        <v>11173.546194690276</v>
      </c>
      <c r="H225" s="384">
        <f t="shared" si="20"/>
        <v>1.3499325033748304E-3</v>
      </c>
      <c r="I225" s="350">
        <f t="shared" si="21"/>
        <v>534.13295347220708</v>
      </c>
      <c r="J225" s="350">
        <f t="shared" si="22"/>
        <v>133.53323836805177</v>
      </c>
      <c r="K225" s="350">
        <f t="shared" si="23"/>
        <v>400.59971510415528</v>
      </c>
      <c r="L225" s="350">
        <f t="shared" si="24"/>
        <v>108</v>
      </c>
      <c r="N225" s="350"/>
      <c r="O225" s="398">
        <f>+VLOOKUP(C225,Pop_ISTAT!$A$10:$J$273,10,FALSE)</f>
        <v>1645</v>
      </c>
    </row>
    <row r="226" spans="1:17">
      <c r="A226" s="348">
        <v>208</v>
      </c>
      <c r="B226" s="348" t="s">
        <v>311</v>
      </c>
      <c r="C226" s="348" t="s">
        <v>517</v>
      </c>
      <c r="D226" s="349">
        <v>2101</v>
      </c>
      <c r="E226" s="348">
        <v>2.5999999999999999E-2</v>
      </c>
      <c r="F226" s="381"/>
      <c r="G226" s="350">
        <f t="shared" si="25"/>
        <v>10759.711150442487</v>
      </c>
      <c r="H226" s="384">
        <f t="shared" si="20"/>
        <v>1.2999350032498365E-3</v>
      </c>
      <c r="I226" s="350">
        <f t="shared" si="21"/>
        <v>523.90912009575493</v>
      </c>
      <c r="J226" s="350">
        <f t="shared" si="22"/>
        <v>130.97728002393873</v>
      </c>
      <c r="K226" s="350">
        <f t="shared" si="23"/>
        <v>392.93184007181617</v>
      </c>
      <c r="L226" s="350">
        <f t="shared" si="24"/>
        <v>104</v>
      </c>
      <c r="N226" s="350"/>
      <c r="O226" s="398">
        <f>+VLOOKUP(C226,Pop_ISTAT!$A$10:$J$273,10,FALSE)</f>
        <v>7864</v>
      </c>
    </row>
    <row r="227" spans="1:17">
      <c r="A227" s="348">
        <v>209</v>
      </c>
      <c r="B227" s="348" t="s">
        <v>311</v>
      </c>
      <c r="C227" s="348" t="s">
        <v>518</v>
      </c>
      <c r="D227" s="349">
        <v>2089</v>
      </c>
      <c r="E227" s="348">
        <v>2.5999999999999999E-2</v>
      </c>
      <c r="F227" s="381"/>
      <c r="G227" s="350">
        <f t="shared" si="25"/>
        <v>10759.711150442487</v>
      </c>
      <c r="H227" s="384">
        <f t="shared" si="20"/>
        <v>1.2999350032498365E-3</v>
      </c>
      <c r="I227" s="350">
        <f t="shared" si="21"/>
        <v>520.91677861972016</v>
      </c>
      <c r="J227" s="350">
        <f t="shared" si="22"/>
        <v>130.22919465493004</v>
      </c>
      <c r="K227" s="350">
        <f t="shared" si="23"/>
        <v>390.68758396479012</v>
      </c>
      <c r="L227" s="350">
        <f t="shared" si="24"/>
        <v>104</v>
      </c>
      <c r="N227" s="350"/>
      <c r="O227" s="398">
        <f>+VLOOKUP(C227,Pop_ISTAT!$A$10:$J$273,10,FALSE)</f>
        <v>2097</v>
      </c>
    </row>
    <row r="228" spans="1:17">
      <c r="A228" s="348">
        <v>210</v>
      </c>
      <c r="B228" s="348" t="s">
        <v>309</v>
      </c>
      <c r="C228" s="348" t="s">
        <v>519</v>
      </c>
      <c r="D228" s="349">
        <v>2031</v>
      </c>
      <c r="E228" s="348">
        <v>2.5000000000000001E-2</v>
      </c>
      <c r="F228" s="381"/>
      <c r="G228" s="350">
        <f t="shared" si="25"/>
        <v>10345.876106194699</v>
      </c>
      <c r="H228" s="384">
        <f t="shared" si="20"/>
        <v>1.2499375031248428E-3</v>
      </c>
      <c r="I228" s="350">
        <f t="shared" si="21"/>
        <v>506.4537948188854</v>
      </c>
      <c r="J228" s="350">
        <f t="shared" si="22"/>
        <v>126.61344870472135</v>
      </c>
      <c r="K228" s="350">
        <f t="shared" si="23"/>
        <v>379.84034611416405</v>
      </c>
      <c r="L228" s="350">
        <f t="shared" si="24"/>
        <v>100</v>
      </c>
      <c r="N228" s="350"/>
      <c r="O228" s="398">
        <f>+VLOOKUP(C228,Pop_ISTAT!$A$10:$J$273,10,FALSE)</f>
        <v>1622</v>
      </c>
    </row>
    <row r="229" spans="1:17">
      <c r="A229" s="348">
        <v>211</v>
      </c>
      <c r="B229" s="348" t="s">
        <v>311</v>
      </c>
      <c r="C229" s="348" t="s">
        <v>520</v>
      </c>
      <c r="D229" s="349">
        <v>1991</v>
      </c>
      <c r="E229" s="348">
        <v>2.5000000000000001E-2</v>
      </c>
      <c r="F229" s="381"/>
      <c r="G229" s="350">
        <f t="shared" si="25"/>
        <v>10345.876106194699</v>
      </c>
      <c r="H229" s="384">
        <f t="shared" si="20"/>
        <v>1.2499375031248428E-3</v>
      </c>
      <c r="I229" s="350">
        <f t="shared" si="21"/>
        <v>496.47932323210284</v>
      </c>
      <c r="J229" s="350">
        <f t="shared" si="22"/>
        <v>124.11983080802571</v>
      </c>
      <c r="K229" s="350">
        <f t="shared" si="23"/>
        <v>372.35949242407713</v>
      </c>
      <c r="L229" s="350">
        <f t="shared" si="24"/>
        <v>100</v>
      </c>
      <c r="N229" s="350"/>
      <c r="O229" s="398">
        <f>+VLOOKUP(C229,Pop_ISTAT!$A$10:$J$273,10,FALSE)</f>
        <v>3912</v>
      </c>
    </row>
    <row r="230" spans="1:17">
      <c r="A230" s="348">
        <v>212</v>
      </c>
      <c r="B230" s="348" t="s">
        <v>311</v>
      </c>
      <c r="C230" s="348" t="s">
        <v>521</v>
      </c>
      <c r="D230" s="349">
        <v>1990</v>
      </c>
      <c r="E230" s="348">
        <v>2.5000000000000001E-2</v>
      </c>
      <c r="F230" s="381"/>
      <c r="G230" s="350">
        <f t="shared" si="25"/>
        <v>10345.876106194699</v>
      </c>
      <c r="H230" s="384">
        <f t="shared" si="20"/>
        <v>1.2499375031248428E-3</v>
      </c>
      <c r="I230" s="350">
        <f t="shared" si="21"/>
        <v>496.22996144243325</v>
      </c>
      <c r="J230" s="350">
        <f t="shared" si="22"/>
        <v>124.05749036060831</v>
      </c>
      <c r="K230" s="350">
        <f t="shared" si="23"/>
        <v>372.17247108182494</v>
      </c>
      <c r="L230" s="350">
        <f t="shared" si="24"/>
        <v>100</v>
      </c>
      <c r="N230" s="350"/>
      <c r="O230" s="398">
        <f>+VLOOKUP(C230,Pop_ISTAT!$A$10:$J$273,10,FALSE)</f>
        <v>2592</v>
      </c>
    </row>
    <row r="231" spans="1:17">
      <c r="A231" s="348">
        <v>213</v>
      </c>
      <c r="B231" s="348" t="s">
        <v>311</v>
      </c>
      <c r="C231" s="348" t="s">
        <v>522</v>
      </c>
      <c r="D231" s="349">
        <v>1963</v>
      </c>
      <c r="E231" s="348">
        <v>2.4E-2</v>
      </c>
      <c r="F231" s="381"/>
      <c r="G231" s="350">
        <f t="shared" si="25"/>
        <v>9932.041061946913</v>
      </c>
      <c r="H231" s="384">
        <f t="shared" si="20"/>
        <v>1.1999400029998493E-3</v>
      </c>
      <c r="I231" s="350">
        <f t="shared" si="21"/>
        <v>489.49719312135505</v>
      </c>
      <c r="J231" s="350">
        <f t="shared" si="22"/>
        <v>122.37429828033876</v>
      </c>
      <c r="K231" s="350">
        <f t="shared" si="23"/>
        <v>367.12289484101632</v>
      </c>
      <c r="L231" s="350">
        <f t="shared" si="24"/>
        <v>96</v>
      </c>
      <c r="N231" s="350"/>
      <c r="O231" s="398">
        <f>+VLOOKUP(C231,Pop_ISTAT!$A$10:$J$273,10,FALSE)</f>
        <v>2089</v>
      </c>
    </row>
    <row r="232" spans="1:17">
      <c r="A232" s="348">
        <v>214</v>
      </c>
      <c r="B232" s="348" t="s">
        <v>309</v>
      </c>
      <c r="C232" s="348" t="s">
        <v>523</v>
      </c>
      <c r="D232" s="349">
        <v>1898</v>
      </c>
      <c r="E232" s="348">
        <v>2.4E-2</v>
      </c>
      <c r="F232" s="381"/>
      <c r="G232" s="350">
        <f t="shared" si="25"/>
        <v>9932.041061946913</v>
      </c>
      <c r="H232" s="384">
        <f t="shared" si="20"/>
        <v>1.1999400029998493E-3</v>
      </c>
      <c r="I232" s="350">
        <f t="shared" si="21"/>
        <v>473.28867679283337</v>
      </c>
      <c r="J232" s="350">
        <f t="shared" si="22"/>
        <v>118.32216919820834</v>
      </c>
      <c r="K232" s="350">
        <f t="shared" si="23"/>
        <v>354.966507594625</v>
      </c>
      <c r="L232" s="350">
        <f t="shared" si="24"/>
        <v>96</v>
      </c>
      <c r="N232" s="350"/>
      <c r="O232" s="398">
        <f>+VLOOKUP(C232,Pop_ISTAT!$A$10:$J$273,10,FALSE)</f>
        <v>1180</v>
      </c>
    </row>
    <row r="233" spans="1:17">
      <c r="A233" s="348">
        <v>215</v>
      </c>
      <c r="B233" s="348" t="s">
        <v>309</v>
      </c>
      <c r="C233" s="348" t="s">
        <v>524</v>
      </c>
      <c r="D233" s="349">
        <v>1889</v>
      </c>
      <c r="E233" s="348">
        <v>2.4E-2</v>
      </c>
      <c r="F233" s="381"/>
      <c r="G233" s="350">
        <f t="shared" si="25"/>
        <v>9932.041061946913</v>
      </c>
      <c r="H233" s="384">
        <f t="shared" si="20"/>
        <v>1.1999400029998493E-3</v>
      </c>
      <c r="I233" s="350">
        <f t="shared" si="21"/>
        <v>471.04442068580727</v>
      </c>
      <c r="J233" s="350">
        <f t="shared" si="22"/>
        <v>117.76110517145182</v>
      </c>
      <c r="K233" s="350">
        <f t="shared" si="23"/>
        <v>353.28331551435542</v>
      </c>
      <c r="L233" s="350">
        <f t="shared" si="24"/>
        <v>96</v>
      </c>
      <c r="N233" s="350"/>
      <c r="O233" s="398">
        <f>+VLOOKUP(C233,Pop_ISTAT!$A$10:$J$273,10,FALSE)</f>
        <v>2518</v>
      </c>
    </row>
    <row r="234" spans="1:17">
      <c r="A234" s="348">
        <v>216</v>
      </c>
      <c r="B234" s="348" t="s">
        <v>311</v>
      </c>
      <c r="C234" s="348" t="s">
        <v>525</v>
      </c>
      <c r="D234" s="349">
        <v>1882</v>
      </c>
      <c r="E234" s="348">
        <v>2.3E-2</v>
      </c>
      <c r="F234" s="381"/>
      <c r="G234" s="350">
        <f t="shared" si="25"/>
        <v>9518.2060176991235</v>
      </c>
      <c r="H234" s="384">
        <f t="shared" si="20"/>
        <v>1.1499425028748554E-3</v>
      </c>
      <c r="I234" s="350">
        <f t="shared" si="21"/>
        <v>469.29888815812029</v>
      </c>
      <c r="J234" s="350">
        <f t="shared" si="22"/>
        <v>117.32472203953007</v>
      </c>
      <c r="K234" s="350">
        <f t="shared" si="23"/>
        <v>351.97416611859023</v>
      </c>
      <c r="L234" s="350">
        <f t="shared" si="24"/>
        <v>92</v>
      </c>
      <c r="N234" s="350"/>
      <c r="O234" s="398">
        <f>+VLOOKUP(C234,Pop_ISTAT!$A$10:$J$273,10,FALSE)</f>
        <v>1466</v>
      </c>
    </row>
    <row r="235" spans="1:17">
      <c r="A235" s="348">
        <v>217</v>
      </c>
      <c r="B235" s="348" t="s">
        <v>311</v>
      </c>
      <c r="C235" s="348" t="s">
        <v>526</v>
      </c>
      <c r="D235" s="349">
        <v>1851</v>
      </c>
      <c r="E235" s="348">
        <v>2.3E-2</v>
      </c>
      <c r="F235" s="381"/>
      <c r="G235" s="350">
        <f t="shared" si="25"/>
        <v>9518.2060176991235</v>
      </c>
      <c r="H235" s="384">
        <f t="shared" si="20"/>
        <v>1.1499425028748554E-3</v>
      </c>
      <c r="I235" s="350">
        <f t="shared" si="21"/>
        <v>461.56867267836384</v>
      </c>
      <c r="J235" s="350">
        <f t="shared" si="22"/>
        <v>115.39216816959096</v>
      </c>
      <c r="K235" s="350">
        <f t="shared" si="23"/>
        <v>346.17650450877289</v>
      </c>
      <c r="L235" s="350">
        <f t="shared" si="24"/>
        <v>92</v>
      </c>
      <c r="N235" s="350"/>
      <c r="O235" s="398">
        <f>+VLOOKUP(C235,Pop_ISTAT!$A$10:$J$273,10,FALSE)</f>
        <v>2832</v>
      </c>
    </row>
    <row r="236" spans="1:17">
      <c r="A236" s="348">
        <v>218</v>
      </c>
      <c r="B236" s="348" t="s">
        <v>311</v>
      </c>
      <c r="C236" s="348" t="s">
        <v>527</v>
      </c>
      <c r="D236" s="349">
        <v>1823</v>
      </c>
      <c r="E236" s="348">
        <v>2.3E-2</v>
      </c>
      <c r="F236" s="381"/>
      <c r="G236" s="350">
        <f t="shared" si="25"/>
        <v>9518.2060176991235</v>
      </c>
      <c r="H236" s="384">
        <f t="shared" si="20"/>
        <v>1.1499425028748554E-3</v>
      </c>
      <c r="I236" s="350">
        <f t="shared" si="21"/>
        <v>454.58654256761599</v>
      </c>
      <c r="J236" s="350">
        <f t="shared" si="22"/>
        <v>113.646635641904</v>
      </c>
      <c r="K236" s="350">
        <f t="shared" si="23"/>
        <v>340.93990692571197</v>
      </c>
      <c r="L236" s="350">
        <f t="shared" si="24"/>
        <v>92</v>
      </c>
      <c r="N236" s="350"/>
      <c r="O236" s="398">
        <f>+VLOOKUP(C236,Pop_ISTAT!$A$10:$J$273,10,FALSE)</f>
        <v>2724</v>
      </c>
    </row>
    <row r="237" spans="1:17">
      <c r="A237" s="378">
        <v>219</v>
      </c>
      <c r="B237" s="378" t="s">
        <v>309</v>
      </c>
      <c r="C237" s="378" t="s">
        <v>528</v>
      </c>
      <c r="D237" s="379">
        <v>1817</v>
      </c>
      <c r="E237" s="378">
        <v>2.3E-2</v>
      </c>
      <c r="F237" s="382" t="s">
        <v>619</v>
      </c>
      <c r="G237" s="380">
        <f t="shared" si="25"/>
        <v>9518.2060176991235</v>
      </c>
      <c r="H237" s="385">
        <f t="shared" si="20"/>
        <v>1.1499425028748554E-3</v>
      </c>
      <c r="I237" s="380">
        <f t="shared" si="21"/>
        <v>453.09037182959861</v>
      </c>
      <c r="J237" s="380">
        <f t="shared" si="22"/>
        <v>113.27259295739965</v>
      </c>
      <c r="K237" s="380">
        <f t="shared" si="23"/>
        <v>339.81777887219897</v>
      </c>
      <c r="L237" s="380">
        <f t="shared" si="24"/>
        <v>92</v>
      </c>
      <c r="M237" s="400"/>
      <c r="N237" s="380"/>
      <c r="O237" s="401">
        <f>+VLOOKUP(C237,Pop_ISTAT!$A$10:$J$273,10,FALSE)</f>
        <v>3241</v>
      </c>
      <c r="P237" s="400"/>
      <c r="Q237" s="402">
        <f>+O237</f>
        <v>3241</v>
      </c>
    </row>
    <row r="238" spans="1:17">
      <c r="A238" s="348">
        <v>220</v>
      </c>
      <c r="B238" s="348" t="s">
        <v>311</v>
      </c>
      <c r="C238" s="348" t="s">
        <v>529</v>
      </c>
      <c r="D238" s="349">
        <v>1795</v>
      </c>
      <c r="E238" s="348">
        <v>2.1999999999999999E-2</v>
      </c>
      <c r="F238" s="381"/>
      <c r="G238" s="350">
        <f t="shared" si="25"/>
        <v>9104.3709734513359</v>
      </c>
      <c r="H238" s="384">
        <f t="shared" si="20"/>
        <v>1.0999450027498617E-3</v>
      </c>
      <c r="I238" s="350">
        <f t="shared" si="21"/>
        <v>447.6044124568682</v>
      </c>
      <c r="J238" s="350">
        <f t="shared" si="22"/>
        <v>111.90110311421705</v>
      </c>
      <c r="K238" s="350">
        <f t="shared" si="23"/>
        <v>335.70330934265115</v>
      </c>
      <c r="L238" s="350">
        <f t="shared" si="24"/>
        <v>88</v>
      </c>
      <c r="N238" s="350"/>
      <c r="O238" s="398">
        <f>+VLOOKUP(C238,Pop_ISTAT!$A$10:$J$273,10,FALSE)</f>
        <v>6399</v>
      </c>
    </row>
    <row r="239" spans="1:17">
      <c r="A239" s="348">
        <v>221</v>
      </c>
      <c r="B239" s="348" t="s">
        <v>307</v>
      </c>
      <c r="C239" s="348" t="s">
        <v>530</v>
      </c>
      <c r="D239" s="349">
        <v>1793</v>
      </c>
      <c r="E239" s="348">
        <v>2.1999999999999999E-2</v>
      </c>
      <c r="F239" s="381"/>
      <c r="G239" s="350">
        <f t="shared" si="25"/>
        <v>9104.3709734513359</v>
      </c>
      <c r="H239" s="384">
        <f t="shared" si="20"/>
        <v>1.0999450027498617E-3</v>
      </c>
      <c r="I239" s="350">
        <f t="shared" si="21"/>
        <v>447.10568887752908</v>
      </c>
      <c r="J239" s="350">
        <f t="shared" si="22"/>
        <v>111.77642221938227</v>
      </c>
      <c r="K239" s="350">
        <f t="shared" si="23"/>
        <v>335.32926665814682</v>
      </c>
      <c r="L239" s="350">
        <f t="shared" si="24"/>
        <v>88</v>
      </c>
      <c r="N239" s="350"/>
      <c r="O239" s="398">
        <f>+VLOOKUP(C239,Pop_ISTAT!$A$10:$J$273,10,FALSE)</f>
        <v>3375</v>
      </c>
    </row>
    <row r="240" spans="1:17">
      <c r="A240" s="348">
        <v>222</v>
      </c>
      <c r="B240" s="348" t="s">
        <v>307</v>
      </c>
      <c r="C240" s="348" t="s">
        <v>531</v>
      </c>
      <c r="D240" s="349">
        <v>1773</v>
      </c>
      <c r="E240" s="348">
        <v>2.1999999999999999E-2</v>
      </c>
      <c r="F240" s="381"/>
      <c r="G240" s="350">
        <f t="shared" si="25"/>
        <v>9104.3709734513359</v>
      </c>
      <c r="H240" s="384">
        <f t="shared" si="20"/>
        <v>1.0999450027498617E-3</v>
      </c>
      <c r="I240" s="350">
        <f t="shared" si="21"/>
        <v>442.1184530841378</v>
      </c>
      <c r="J240" s="350">
        <f t="shared" si="22"/>
        <v>110.52961327103445</v>
      </c>
      <c r="K240" s="350">
        <f t="shared" si="23"/>
        <v>331.58883981310333</v>
      </c>
      <c r="L240" s="350">
        <f t="shared" si="24"/>
        <v>88</v>
      </c>
      <c r="N240" s="350"/>
      <c r="O240" s="398">
        <f>+VLOOKUP(C240,Pop_ISTAT!$A$10:$J$273,10,FALSE)</f>
        <v>3473</v>
      </c>
    </row>
    <row r="241" spans="1:17">
      <c r="A241" s="348">
        <v>223</v>
      </c>
      <c r="B241" s="348" t="s">
        <v>311</v>
      </c>
      <c r="C241" s="348" t="s">
        <v>532</v>
      </c>
      <c r="D241" s="349">
        <v>1763</v>
      </c>
      <c r="E241" s="348">
        <v>2.1999999999999999E-2</v>
      </c>
      <c r="F241" s="381"/>
      <c r="G241" s="350">
        <f t="shared" si="25"/>
        <v>9104.3709734513359</v>
      </c>
      <c r="H241" s="384">
        <f t="shared" si="20"/>
        <v>1.0999450027498617E-3</v>
      </c>
      <c r="I241" s="350">
        <f t="shared" si="21"/>
        <v>439.62483518744216</v>
      </c>
      <c r="J241" s="350">
        <f t="shared" si="22"/>
        <v>109.90620879686054</v>
      </c>
      <c r="K241" s="350">
        <f t="shared" si="23"/>
        <v>329.71862639058162</v>
      </c>
      <c r="L241" s="350">
        <f t="shared" si="24"/>
        <v>88</v>
      </c>
      <c r="N241" s="350"/>
      <c r="O241" s="398">
        <f>+VLOOKUP(C241,Pop_ISTAT!$A$10:$J$273,10,FALSE)</f>
        <v>1949</v>
      </c>
    </row>
    <row r="242" spans="1:17">
      <c r="A242" s="348">
        <v>224</v>
      </c>
      <c r="B242" s="348" t="s">
        <v>309</v>
      </c>
      <c r="C242" s="348" t="s">
        <v>533</v>
      </c>
      <c r="D242" s="349">
        <v>1734</v>
      </c>
      <c r="E242" s="348">
        <v>2.1999999999999999E-2</v>
      </c>
      <c r="F242" s="381"/>
      <c r="G242" s="350">
        <f t="shared" si="25"/>
        <v>9104.3709734513359</v>
      </c>
      <c r="H242" s="384">
        <f t="shared" si="20"/>
        <v>1.0999450027498617E-3</v>
      </c>
      <c r="I242" s="350">
        <f t="shared" si="21"/>
        <v>432.39334328702478</v>
      </c>
      <c r="J242" s="350">
        <f t="shared" si="22"/>
        <v>108.09833582175619</v>
      </c>
      <c r="K242" s="350">
        <f t="shared" si="23"/>
        <v>324.29500746526855</v>
      </c>
      <c r="L242" s="350">
        <f t="shared" si="24"/>
        <v>88</v>
      </c>
      <c r="N242" s="350"/>
      <c r="O242" s="398">
        <f>+VLOOKUP(C242,Pop_ISTAT!$A$10:$J$273,10,FALSE)</f>
        <v>1775</v>
      </c>
    </row>
    <row r="243" spans="1:17">
      <c r="A243" s="348">
        <v>225</v>
      </c>
      <c r="B243" s="348" t="s">
        <v>311</v>
      </c>
      <c r="C243" s="348" t="s">
        <v>534</v>
      </c>
      <c r="D243" s="349">
        <v>1730</v>
      </c>
      <c r="E243" s="348">
        <v>2.1999999999999999E-2</v>
      </c>
      <c r="F243" s="381"/>
      <c r="G243" s="350">
        <f t="shared" si="25"/>
        <v>9104.3709734513359</v>
      </c>
      <c r="H243" s="384">
        <f t="shared" si="20"/>
        <v>1.0999450027498617E-3</v>
      </c>
      <c r="I243" s="350">
        <f t="shared" si="21"/>
        <v>431.39589612834652</v>
      </c>
      <c r="J243" s="350">
        <f t="shared" si="22"/>
        <v>107.84897403208663</v>
      </c>
      <c r="K243" s="350">
        <f t="shared" si="23"/>
        <v>323.54692209625989</v>
      </c>
      <c r="L243" s="350">
        <f t="shared" si="24"/>
        <v>88</v>
      </c>
      <c r="N243" s="350"/>
      <c r="O243" s="398">
        <f>+VLOOKUP(C243,Pop_ISTAT!$A$10:$J$273,10,FALSE)</f>
        <v>1567</v>
      </c>
    </row>
    <row r="244" spans="1:17">
      <c r="A244" s="348">
        <v>226</v>
      </c>
      <c r="B244" s="348" t="s">
        <v>311</v>
      </c>
      <c r="C244" s="348" t="s">
        <v>535</v>
      </c>
      <c r="D244" s="349">
        <v>1713</v>
      </c>
      <c r="E244" s="348">
        <v>2.1000000000000001E-2</v>
      </c>
      <c r="F244" s="381"/>
      <c r="G244" s="350">
        <f t="shared" si="25"/>
        <v>8690.5359292035482</v>
      </c>
      <c r="H244" s="384">
        <f t="shared" si="20"/>
        <v>1.049947502624868E-3</v>
      </c>
      <c r="I244" s="350">
        <f t="shared" si="21"/>
        <v>427.15674570396391</v>
      </c>
      <c r="J244" s="350">
        <f t="shared" si="22"/>
        <v>106.78918642599098</v>
      </c>
      <c r="K244" s="350">
        <f t="shared" si="23"/>
        <v>320.36755927797293</v>
      </c>
      <c r="L244" s="350">
        <f t="shared" si="24"/>
        <v>84</v>
      </c>
      <c r="N244" s="350"/>
      <c r="O244" s="398">
        <f>+VLOOKUP(C244,Pop_ISTAT!$A$10:$J$273,10,FALSE)</f>
        <v>1539</v>
      </c>
    </row>
    <row r="245" spans="1:17">
      <c r="A245" s="348">
        <v>227</v>
      </c>
      <c r="B245" s="348" t="s">
        <v>309</v>
      </c>
      <c r="C245" s="348" t="s">
        <v>536</v>
      </c>
      <c r="D245" s="349">
        <v>1693</v>
      </c>
      <c r="E245" s="348">
        <v>2.1000000000000001E-2</v>
      </c>
      <c r="F245" s="381"/>
      <c r="G245" s="350">
        <f t="shared" si="25"/>
        <v>8690.5359292035482</v>
      </c>
      <c r="H245" s="384">
        <f t="shared" si="20"/>
        <v>1.049947502624868E-3</v>
      </c>
      <c r="I245" s="350">
        <f t="shared" si="21"/>
        <v>422.16950991057263</v>
      </c>
      <c r="J245" s="350">
        <f t="shared" si="22"/>
        <v>105.54237747764316</v>
      </c>
      <c r="K245" s="350">
        <f t="shared" si="23"/>
        <v>316.62713243292944</v>
      </c>
      <c r="L245" s="350">
        <f t="shared" si="24"/>
        <v>84</v>
      </c>
      <c r="N245" s="350"/>
      <c r="O245" s="398">
        <f>+VLOOKUP(C245,Pop_ISTAT!$A$10:$J$273,10,FALSE)</f>
        <v>3476</v>
      </c>
    </row>
    <row r="246" spans="1:17">
      <c r="A246" s="348">
        <v>228</v>
      </c>
      <c r="B246" s="348" t="s">
        <v>311</v>
      </c>
      <c r="C246" s="348" t="s">
        <v>537</v>
      </c>
      <c r="D246" s="349">
        <v>1639</v>
      </c>
      <c r="E246" s="348">
        <v>0.02</v>
      </c>
      <c r="F246" s="381"/>
      <c r="G246" s="350">
        <f t="shared" si="25"/>
        <v>8276.7008849557606</v>
      </c>
      <c r="H246" s="384">
        <f t="shared" si="20"/>
        <v>9.9995000249987432E-4</v>
      </c>
      <c r="I246" s="350">
        <f t="shared" si="21"/>
        <v>408.70397326841618</v>
      </c>
      <c r="J246" s="350">
        <f t="shared" si="22"/>
        <v>102.17599331710404</v>
      </c>
      <c r="K246" s="350">
        <f t="shared" si="23"/>
        <v>306.52797995131215</v>
      </c>
      <c r="L246" s="350">
        <f t="shared" si="24"/>
        <v>80</v>
      </c>
      <c r="N246" s="350"/>
      <c r="O246" s="398">
        <f>+VLOOKUP(C246,Pop_ISTAT!$A$10:$J$273,10,FALSE)</f>
        <v>3344</v>
      </c>
    </row>
    <row r="247" spans="1:17">
      <c r="A247" s="348">
        <v>229</v>
      </c>
      <c r="B247" s="348" t="s">
        <v>309</v>
      </c>
      <c r="C247" s="348" t="s">
        <v>538</v>
      </c>
      <c r="D247" s="349">
        <v>1614</v>
      </c>
      <c r="E247" s="348">
        <v>0.02</v>
      </c>
      <c r="F247" s="381"/>
      <c r="G247" s="350">
        <f t="shared" si="25"/>
        <v>8276.7008849557606</v>
      </c>
      <c r="H247" s="384">
        <f t="shared" si="20"/>
        <v>9.9995000249987432E-4</v>
      </c>
      <c r="I247" s="350">
        <f t="shared" si="21"/>
        <v>402.46992852667705</v>
      </c>
      <c r="J247" s="350">
        <f t="shared" si="22"/>
        <v>100.61748213166926</v>
      </c>
      <c r="K247" s="350">
        <f t="shared" si="23"/>
        <v>301.8524463950078</v>
      </c>
      <c r="L247" s="350">
        <f t="shared" si="24"/>
        <v>80</v>
      </c>
      <c r="N247" s="350"/>
      <c r="O247" s="398">
        <f>+VLOOKUP(C247,Pop_ISTAT!$A$10:$J$273,10,FALSE)</f>
        <v>1070</v>
      </c>
    </row>
    <row r="248" spans="1:17">
      <c r="A248" s="348">
        <v>230</v>
      </c>
      <c r="B248" s="348" t="s">
        <v>311</v>
      </c>
      <c r="C248" s="348" t="s">
        <v>539</v>
      </c>
      <c r="D248" s="349">
        <v>1605</v>
      </c>
      <c r="E248" s="348">
        <v>0.02</v>
      </c>
      <c r="F248" s="381"/>
      <c r="G248" s="350">
        <f t="shared" si="25"/>
        <v>8276.7008849557606</v>
      </c>
      <c r="H248" s="384">
        <f t="shared" si="20"/>
        <v>9.9995000249987432E-4</v>
      </c>
      <c r="I248" s="350">
        <f t="shared" si="21"/>
        <v>400.22567241965095</v>
      </c>
      <c r="J248" s="350">
        <f t="shared" si="22"/>
        <v>100.05641810491274</v>
      </c>
      <c r="K248" s="350">
        <f t="shared" si="23"/>
        <v>300.16925431473823</v>
      </c>
      <c r="L248" s="350">
        <f t="shared" si="24"/>
        <v>80</v>
      </c>
      <c r="N248" s="350"/>
      <c r="O248" s="398">
        <f>+VLOOKUP(C248,Pop_ISTAT!$A$10:$J$273,10,FALSE)</f>
        <v>2619</v>
      </c>
    </row>
    <row r="249" spans="1:17">
      <c r="A249" s="378">
        <v>231</v>
      </c>
      <c r="B249" s="378" t="s">
        <v>309</v>
      </c>
      <c r="C249" s="378" t="s">
        <v>540</v>
      </c>
      <c r="D249" s="379">
        <v>1590</v>
      </c>
      <c r="E249" s="378">
        <v>0.02</v>
      </c>
      <c r="F249" s="382" t="s">
        <v>619</v>
      </c>
      <c r="G249" s="380">
        <f t="shared" si="25"/>
        <v>8276.7008849557606</v>
      </c>
      <c r="H249" s="385">
        <f t="shared" si="20"/>
        <v>9.9995000249987432E-4</v>
      </c>
      <c r="I249" s="380">
        <f t="shared" si="21"/>
        <v>396.48524557460752</v>
      </c>
      <c r="J249" s="380">
        <f t="shared" si="22"/>
        <v>99.121311393651879</v>
      </c>
      <c r="K249" s="380">
        <f t="shared" si="23"/>
        <v>297.36393418095565</v>
      </c>
      <c r="L249" s="380">
        <f t="shared" si="24"/>
        <v>80</v>
      </c>
      <c r="M249" s="400"/>
      <c r="N249" s="380"/>
      <c r="O249" s="401">
        <f>+VLOOKUP(C249,Pop_ISTAT!$A$10:$J$273,10,FALSE)</f>
        <v>1467</v>
      </c>
      <c r="P249" s="400"/>
      <c r="Q249" s="402">
        <f>+O249</f>
        <v>1467</v>
      </c>
    </row>
    <row r="250" spans="1:17">
      <c r="A250" s="348">
        <v>232</v>
      </c>
      <c r="B250" s="348" t="s">
        <v>309</v>
      </c>
      <c r="C250" s="348" t="s">
        <v>541</v>
      </c>
      <c r="D250" s="349">
        <v>1589</v>
      </c>
      <c r="E250" s="348">
        <v>0.02</v>
      </c>
      <c r="F250" s="381"/>
      <c r="G250" s="350">
        <f t="shared" si="25"/>
        <v>8276.7008849557606</v>
      </c>
      <c r="H250" s="384">
        <f t="shared" si="20"/>
        <v>9.9995000249987432E-4</v>
      </c>
      <c r="I250" s="350">
        <f t="shared" si="21"/>
        <v>396.23588378493793</v>
      </c>
      <c r="J250" s="350">
        <f t="shared" si="22"/>
        <v>99.058970946234481</v>
      </c>
      <c r="K250" s="350">
        <f t="shared" si="23"/>
        <v>297.17691283870346</v>
      </c>
      <c r="L250" s="350">
        <f t="shared" si="24"/>
        <v>80</v>
      </c>
      <c r="N250" s="350"/>
      <c r="O250" s="398">
        <f>+VLOOKUP(C250,Pop_ISTAT!$A$10:$J$273,10,FALSE)</f>
        <v>2218</v>
      </c>
    </row>
    <row r="251" spans="1:17">
      <c r="A251" s="348">
        <v>233</v>
      </c>
      <c r="B251" s="348" t="s">
        <v>309</v>
      </c>
      <c r="C251" s="348" t="s">
        <v>542</v>
      </c>
      <c r="D251" s="349">
        <v>1583</v>
      </c>
      <c r="E251" s="348">
        <v>0.02</v>
      </c>
      <c r="F251" s="381"/>
      <c r="G251" s="350">
        <f t="shared" si="25"/>
        <v>8276.7008849557606</v>
      </c>
      <c r="H251" s="384">
        <f t="shared" si="20"/>
        <v>9.9995000249987432E-4</v>
      </c>
      <c r="I251" s="350">
        <f t="shared" si="21"/>
        <v>394.73971304692054</v>
      </c>
      <c r="J251" s="350">
        <f t="shared" si="22"/>
        <v>98.684928261730136</v>
      </c>
      <c r="K251" s="350">
        <f t="shared" si="23"/>
        <v>296.05478478519041</v>
      </c>
      <c r="L251" s="350">
        <f t="shared" si="24"/>
        <v>80</v>
      </c>
      <c r="N251" s="350"/>
      <c r="O251" s="398">
        <f>+VLOOKUP(C251,Pop_ISTAT!$A$10:$J$273,10,FALSE)</f>
        <v>6884</v>
      </c>
    </row>
    <row r="252" spans="1:17">
      <c r="A252" s="348">
        <v>234</v>
      </c>
      <c r="B252" s="348" t="s">
        <v>309</v>
      </c>
      <c r="C252" s="348" t="s">
        <v>543</v>
      </c>
      <c r="D252" s="349">
        <v>1540</v>
      </c>
      <c r="E252" s="348">
        <v>1.9E-2</v>
      </c>
      <c r="F252" s="381"/>
      <c r="G252" s="350">
        <f t="shared" si="25"/>
        <v>7862.8658407079711</v>
      </c>
      <c r="H252" s="384">
        <f t="shared" si="20"/>
        <v>9.4995250237488041E-4</v>
      </c>
      <c r="I252" s="350">
        <f t="shared" si="21"/>
        <v>384.01715609112927</v>
      </c>
      <c r="J252" s="350">
        <f t="shared" si="22"/>
        <v>96.004289022782316</v>
      </c>
      <c r="K252" s="350">
        <f t="shared" si="23"/>
        <v>288.01286706834696</v>
      </c>
      <c r="L252" s="350">
        <f t="shared" si="24"/>
        <v>76</v>
      </c>
      <c r="N252" s="350"/>
      <c r="O252" s="398">
        <f>+VLOOKUP(C252,Pop_ISTAT!$A$10:$J$273,10,FALSE)</f>
        <v>925</v>
      </c>
    </row>
    <row r="253" spans="1:17">
      <c r="A253" s="348">
        <v>235</v>
      </c>
      <c r="B253" s="348" t="s">
        <v>309</v>
      </c>
      <c r="C253" s="348" t="s">
        <v>544</v>
      </c>
      <c r="D253" s="349">
        <v>1456</v>
      </c>
      <c r="E253" s="348">
        <v>1.7999999999999999E-2</v>
      </c>
      <c r="F253" s="381"/>
      <c r="G253" s="350">
        <f t="shared" si="25"/>
        <v>7449.0307964601825</v>
      </c>
      <c r="H253" s="384">
        <f t="shared" si="20"/>
        <v>8.9995500224988672E-4</v>
      </c>
      <c r="I253" s="350">
        <f t="shared" si="21"/>
        <v>363.07076575888584</v>
      </c>
      <c r="J253" s="350">
        <f t="shared" si="22"/>
        <v>90.76769143972146</v>
      </c>
      <c r="K253" s="350">
        <f t="shared" si="23"/>
        <v>272.30307431916435</v>
      </c>
      <c r="L253" s="350">
        <f t="shared" si="24"/>
        <v>71.999999999999986</v>
      </c>
      <c r="N253" s="350"/>
      <c r="O253" s="398">
        <f>+VLOOKUP(C253,Pop_ISTAT!$A$10:$J$273,10,FALSE)</f>
        <v>1358</v>
      </c>
    </row>
    <row r="254" spans="1:17">
      <c r="A254" s="348">
        <v>236</v>
      </c>
      <c r="B254" s="348" t="s">
        <v>311</v>
      </c>
      <c r="C254" s="348" t="s">
        <v>545</v>
      </c>
      <c r="D254" s="349">
        <v>1451</v>
      </c>
      <c r="E254" s="348">
        <v>1.7999999999999999E-2</v>
      </c>
      <c r="F254" s="381"/>
      <c r="G254" s="350">
        <f t="shared" si="25"/>
        <v>7449.0307964601825</v>
      </c>
      <c r="H254" s="384">
        <f t="shared" si="20"/>
        <v>8.9995500224988672E-4</v>
      </c>
      <c r="I254" s="350">
        <f t="shared" si="21"/>
        <v>361.82395681053805</v>
      </c>
      <c r="J254" s="350">
        <f t="shared" si="22"/>
        <v>90.455989202634512</v>
      </c>
      <c r="K254" s="350">
        <f t="shared" si="23"/>
        <v>271.36796760790355</v>
      </c>
      <c r="L254" s="350">
        <f t="shared" si="24"/>
        <v>71.999999999999986</v>
      </c>
      <c r="N254" s="350"/>
      <c r="O254" s="398">
        <f>+VLOOKUP(C254,Pop_ISTAT!$A$10:$J$273,10,FALSE)</f>
        <v>1480</v>
      </c>
    </row>
    <row r="255" spans="1:17">
      <c r="A255" s="348">
        <v>237</v>
      </c>
      <c r="B255" s="348" t="s">
        <v>309</v>
      </c>
      <c r="C255" s="348" t="s">
        <v>546</v>
      </c>
      <c r="D255" s="349">
        <v>1351</v>
      </c>
      <c r="E255" s="348">
        <v>1.7000000000000001E-2</v>
      </c>
      <c r="F255" s="381"/>
      <c r="G255" s="350">
        <f t="shared" si="25"/>
        <v>7035.1957522123967</v>
      </c>
      <c r="H255" s="384">
        <f t="shared" si="20"/>
        <v>8.4995750212489324E-4</v>
      </c>
      <c r="I255" s="350">
        <f t="shared" si="21"/>
        <v>336.8877778435816</v>
      </c>
      <c r="J255" s="350">
        <f t="shared" si="22"/>
        <v>84.221944460895401</v>
      </c>
      <c r="K255" s="350">
        <f t="shared" si="23"/>
        <v>252.6658333826862</v>
      </c>
      <c r="L255" s="350">
        <f t="shared" si="24"/>
        <v>68.000000000000014</v>
      </c>
      <c r="N255" s="350"/>
      <c r="O255" s="398">
        <f>+VLOOKUP(C255,Pop_ISTAT!$A$10:$J$273,10,FALSE)</f>
        <v>1998</v>
      </c>
    </row>
    <row r="256" spans="1:17">
      <c r="A256" s="348">
        <v>238</v>
      </c>
      <c r="B256" s="348" t="s">
        <v>311</v>
      </c>
      <c r="C256" s="348" t="s">
        <v>547</v>
      </c>
      <c r="D256" s="349">
        <v>1323</v>
      </c>
      <c r="E256" s="348">
        <v>1.6E-2</v>
      </c>
      <c r="F256" s="381"/>
      <c r="G256" s="350">
        <f t="shared" si="25"/>
        <v>6621.3607079646081</v>
      </c>
      <c r="H256" s="384">
        <f t="shared" si="20"/>
        <v>7.9996000199989944E-4</v>
      </c>
      <c r="I256" s="350">
        <f t="shared" si="21"/>
        <v>329.90564773283376</v>
      </c>
      <c r="J256" s="350">
        <f t="shared" si="22"/>
        <v>82.476411933208439</v>
      </c>
      <c r="K256" s="350">
        <f t="shared" si="23"/>
        <v>247.4292357996253</v>
      </c>
      <c r="L256" s="350">
        <f t="shared" si="24"/>
        <v>64</v>
      </c>
      <c r="N256" s="350"/>
      <c r="O256" s="398">
        <f>+VLOOKUP(C256,Pop_ISTAT!$A$10:$J$273,10,FALSE)</f>
        <v>1353</v>
      </c>
    </row>
    <row r="257" spans="1:17">
      <c r="A257" s="348">
        <v>239</v>
      </c>
      <c r="B257" s="348" t="s">
        <v>309</v>
      </c>
      <c r="C257" s="348" t="s">
        <v>548</v>
      </c>
      <c r="D257" s="349">
        <v>1315</v>
      </c>
      <c r="E257" s="348">
        <v>1.6E-2</v>
      </c>
      <c r="F257" s="381"/>
      <c r="G257" s="350">
        <f t="shared" si="25"/>
        <v>6621.3607079646081</v>
      </c>
      <c r="H257" s="384">
        <f t="shared" si="20"/>
        <v>7.9996000199989944E-4</v>
      </c>
      <c r="I257" s="350">
        <f t="shared" si="21"/>
        <v>327.91075341547725</v>
      </c>
      <c r="J257" s="350">
        <f t="shared" si="22"/>
        <v>81.977688353869311</v>
      </c>
      <c r="K257" s="350">
        <f t="shared" si="23"/>
        <v>245.93306506160792</v>
      </c>
      <c r="L257" s="350">
        <f t="shared" si="24"/>
        <v>64</v>
      </c>
      <c r="N257" s="350"/>
      <c r="O257" s="398">
        <f>+VLOOKUP(C257,Pop_ISTAT!$A$10:$J$273,10,FALSE)</f>
        <v>1618</v>
      </c>
    </row>
    <row r="258" spans="1:17">
      <c r="A258" s="348">
        <v>240</v>
      </c>
      <c r="B258" s="348" t="s">
        <v>307</v>
      </c>
      <c r="C258" s="348" t="s">
        <v>549</v>
      </c>
      <c r="D258" s="349">
        <v>1311</v>
      </c>
      <c r="E258" s="348">
        <v>1.6E-2</v>
      </c>
      <c r="F258" s="381"/>
      <c r="G258" s="350">
        <f t="shared" si="25"/>
        <v>6621.3607079646081</v>
      </c>
      <c r="H258" s="384">
        <f t="shared" si="20"/>
        <v>7.9996000199989944E-4</v>
      </c>
      <c r="I258" s="350">
        <f t="shared" si="21"/>
        <v>326.91330625679899</v>
      </c>
      <c r="J258" s="350">
        <f t="shared" si="22"/>
        <v>81.728326564199747</v>
      </c>
      <c r="K258" s="350">
        <f t="shared" si="23"/>
        <v>245.18497969259926</v>
      </c>
      <c r="L258" s="350">
        <f t="shared" si="24"/>
        <v>64</v>
      </c>
      <c r="N258" s="350"/>
      <c r="O258" s="398">
        <f>+VLOOKUP(C258,Pop_ISTAT!$A$10:$J$273,10,FALSE)</f>
        <v>1757</v>
      </c>
    </row>
    <row r="259" spans="1:17">
      <c r="A259" s="348">
        <v>241</v>
      </c>
      <c r="B259" s="348" t="s">
        <v>311</v>
      </c>
      <c r="C259" s="348" t="s">
        <v>550</v>
      </c>
      <c r="D259" s="349">
        <v>1303</v>
      </c>
      <c r="E259" s="348">
        <v>1.6E-2</v>
      </c>
      <c r="F259" s="381"/>
      <c r="G259" s="350">
        <f t="shared" si="25"/>
        <v>6621.3607079646081</v>
      </c>
      <c r="H259" s="384">
        <f t="shared" si="20"/>
        <v>7.9996000199989944E-4</v>
      </c>
      <c r="I259" s="350">
        <f t="shared" si="21"/>
        <v>324.91841193944248</v>
      </c>
      <c r="J259" s="350">
        <f t="shared" si="22"/>
        <v>81.22960298486062</v>
      </c>
      <c r="K259" s="350">
        <f t="shared" si="23"/>
        <v>243.68880895458187</v>
      </c>
      <c r="L259" s="350">
        <f t="shared" si="24"/>
        <v>64</v>
      </c>
      <c r="N259" s="350"/>
      <c r="O259" s="398">
        <f>+VLOOKUP(C259,Pop_ISTAT!$A$10:$J$273,10,FALSE)</f>
        <v>1815</v>
      </c>
    </row>
    <row r="260" spans="1:17">
      <c r="A260" s="348">
        <v>242</v>
      </c>
      <c r="B260" s="348" t="s">
        <v>311</v>
      </c>
      <c r="C260" s="348" t="s">
        <v>551</v>
      </c>
      <c r="D260" s="349">
        <v>1277</v>
      </c>
      <c r="E260" s="348">
        <v>1.6E-2</v>
      </c>
      <c r="F260" s="381"/>
      <c r="G260" s="350">
        <f t="shared" si="25"/>
        <v>6621.3607079646081</v>
      </c>
      <c r="H260" s="384">
        <f t="shared" si="20"/>
        <v>7.9996000199989944E-4</v>
      </c>
      <c r="I260" s="350">
        <f t="shared" si="21"/>
        <v>318.43500540803382</v>
      </c>
      <c r="J260" s="350">
        <f t="shared" si="22"/>
        <v>79.608751352008454</v>
      </c>
      <c r="K260" s="350">
        <f t="shared" si="23"/>
        <v>238.82625405602536</v>
      </c>
      <c r="L260" s="350">
        <f t="shared" si="24"/>
        <v>64</v>
      </c>
      <c r="N260" s="350"/>
      <c r="O260" s="398">
        <f>+VLOOKUP(C260,Pop_ISTAT!$A$10:$J$273,10,FALSE)</f>
        <v>1821</v>
      </c>
    </row>
    <row r="261" spans="1:17">
      <c r="A261" s="348">
        <v>243</v>
      </c>
      <c r="B261" s="348" t="s">
        <v>311</v>
      </c>
      <c r="C261" s="348" t="s">
        <v>552</v>
      </c>
      <c r="D261" s="349">
        <v>1265</v>
      </c>
      <c r="E261" s="348">
        <v>1.6E-2</v>
      </c>
      <c r="F261" s="381"/>
      <c r="G261" s="350">
        <f t="shared" si="25"/>
        <v>6621.3607079646081</v>
      </c>
      <c r="H261" s="384">
        <f t="shared" si="20"/>
        <v>7.9996000199989944E-4</v>
      </c>
      <c r="I261" s="350">
        <f t="shared" si="21"/>
        <v>315.44266393199905</v>
      </c>
      <c r="J261" s="350">
        <f t="shared" si="22"/>
        <v>78.860665982999762</v>
      </c>
      <c r="K261" s="350">
        <f t="shared" si="23"/>
        <v>236.58199794899929</v>
      </c>
      <c r="L261" s="350">
        <f t="shared" si="24"/>
        <v>64</v>
      </c>
      <c r="N261" s="350"/>
      <c r="O261" s="398">
        <f>+VLOOKUP(C261,Pop_ISTAT!$A$10:$J$273,10,FALSE)</f>
        <v>1125</v>
      </c>
    </row>
    <row r="262" spans="1:17">
      <c r="A262" s="348">
        <v>244</v>
      </c>
      <c r="B262" s="348" t="s">
        <v>309</v>
      </c>
      <c r="C262" s="348" t="s">
        <v>553</v>
      </c>
      <c r="D262" s="349">
        <v>1229</v>
      </c>
      <c r="E262" s="348">
        <v>1.4999999999999999E-2</v>
      </c>
      <c r="F262" s="381"/>
      <c r="G262" s="350">
        <f t="shared" si="25"/>
        <v>6207.5256637168195</v>
      </c>
      <c r="H262" s="384">
        <f t="shared" si="20"/>
        <v>7.4996250187490563E-4</v>
      </c>
      <c r="I262" s="350">
        <f t="shared" si="21"/>
        <v>306.46563950389475</v>
      </c>
      <c r="J262" s="350">
        <f t="shared" si="22"/>
        <v>76.616409875973687</v>
      </c>
      <c r="K262" s="350">
        <f t="shared" si="23"/>
        <v>229.84922962792106</v>
      </c>
      <c r="L262" s="350">
        <f t="shared" si="24"/>
        <v>60</v>
      </c>
      <c r="N262" s="350"/>
      <c r="O262" s="398">
        <f>+VLOOKUP(C262,Pop_ISTAT!$A$10:$J$273,10,FALSE)</f>
        <v>987</v>
      </c>
    </row>
    <row r="263" spans="1:17">
      <c r="A263" s="348">
        <v>245</v>
      </c>
      <c r="B263" s="348" t="s">
        <v>311</v>
      </c>
      <c r="C263" s="348" t="s">
        <v>554</v>
      </c>
      <c r="D263" s="349">
        <v>1223</v>
      </c>
      <c r="E263" s="348">
        <v>1.4999999999999999E-2</v>
      </c>
      <c r="F263" s="381"/>
      <c r="G263" s="350">
        <f t="shared" si="25"/>
        <v>6207.5256637168195</v>
      </c>
      <c r="H263" s="384">
        <f t="shared" si="20"/>
        <v>7.4996250187490563E-4</v>
      </c>
      <c r="I263" s="350">
        <f t="shared" si="21"/>
        <v>304.96946876587731</v>
      </c>
      <c r="J263" s="350">
        <f t="shared" si="22"/>
        <v>76.242367191469327</v>
      </c>
      <c r="K263" s="350">
        <f t="shared" si="23"/>
        <v>228.72710157440798</v>
      </c>
      <c r="L263" s="350">
        <f t="shared" si="24"/>
        <v>60</v>
      </c>
      <c r="N263" s="350"/>
      <c r="O263" s="398">
        <f>+VLOOKUP(C263,Pop_ISTAT!$A$10:$J$273,10,FALSE)</f>
        <v>1719</v>
      </c>
    </row>
    <row r="264" spans="1:17">
      <c r="A264" s="348">
        <v>246</v>
      </c>
      <c r="B264" s="348" t="s">
        <v>309</v>
      </c>
      <c r="C264" s="348" t="s">
        <v>555</v>
      </c>
      <c r="D264" s="349">
        <v>1196</v>
      </c>
      <c r="E264" s="348">
        <v>1.4999999999999999E-2</v>
      </c>
      <c r="F264" s="381"/>
      <c r="G264" s="350">
        <f t="shared" si="25"/>
        <v>6207.5256637168195</v>
      </c>
      <c r="H264" s="384">
        <f t="shared" si="20"/>
        <v>7.4996250187490563E-4</v>
      </c>
      <c r="I264" s="350">
        <f t="shared" si="21"/>
        <v>298.23670044479911</v>
      </c>
      <c r="J264" s="350">
        <f t="shared" si="22"/>
        <v>74.559175111199778</v>
      </c>
      <c r="K264" s="350">
        <f t="shared" si="23"/>
        <v>223.67752533359933</v>
      </c>
      <c r="L264" s="350">
        <f t="shared" si="24"/>
        <v>60</v>
      </c>
      <c r="N264" s="350"/>
      <c r="O264" s="398">
        <f>+VLOOKUP(C264,Pop_ISTAT!$A$10:$J$273,10,FALSE)</f>
        <v>668</v>
      </c>
    </row>
    <row r="265" spans="1:17">
      <c r="A265" s="348">
        <v>247</v>
      </c>
      <c r="B265" s="348" t="s">
        <v>306</v>
      </c>
      <c r="C265" s="348" t="s">
        <v>556</v>
      </c>
      <c r="D265" s="349">
        <v>1107</v>
      </c>
      <c r="E265" s="348">
        <v>1.4E-2</v>
      </c>
      <c r="F265" s="381"/>
      <c r="G265" s="350">
        <f t="shared" si="25"/>
        <v>5793.6906194690318</v>
      </c>
      <c r="H265" s="384">
        <f t="shared" si="20"/>
        <v>6.9996500174991194E-4</v>
      </c>
      <c r="I265" s="350">
        <f t="shared" si="21"/>
        <v>276.04350116420784</v>
      </c>
      <c r="J265" s="350">
        <f t="shared" si="22"/>
        <v>69.01087529105196</v>
      </c>
      <c r="K265" s="350">
        <f t="shared" si="23"/>
        <v>207.03262587315589</v>
      </c>
      <c r="L265" s="350">
        <f t="shared" si="24"/>
        <v>56</v>
      </c>
      <c r="N265" s="350"/>
      <c r="O265" s="398">
        <f>+VLOOKUP(C265,Pop_ISTAT!$A$10:$J$273,10,FALSE)</f>
        <v>2166</v>
      </c>
    </row>
    <row r="266" spans="1:17">
      <c r="A266" s="378">
        <v>248</v>
      </c>
      <c r="B266" s="378" t="s">
        <v>307</v>
      </c>
      <c r="C266" s="378" t="s">
        <v>557</v>
      </c>
      <c r="D266" s="379">
        <v>1065</v>
      </c>
      <c r="E266" s="378">
        <v>1.2999999999999999E-2</v>
      </c>
      <c r="F266" s="382" t="s">
        <v>619</v>
      </c>
      <c r="G266" s="380">
        <f t="shared" si="25"/>
        <v>5379.8555752212433</v>
      </c>
      <c r="H266" s="385">
        <f t="shared" si="20"/>
        <v>6.4996750162491825E-4</v>
      </c>
      <c r="I266" s="380">
        <f t="shared" si="21"/>
        <v>265.57030599808616</v>
      </c>
      <c r="J266" s="380">
        <f t="shared" si="22"/>
        <v>66.392576499521539</v>
      </c>
      <c r="K266" s="380">
        <f t="shared" si="23"/>
        <v>199.17772949856462</v>
      </c>
      <c r="L266" s="380">
        <f t="shared" si="24"/>
        <v>52</v>
      </c>
      <c r="M266" s="400"/>
      <c r="N266" s="380"/>
      <c r="O266" s="401">
        <f>+VLOOKUP(C266,Pop_ISTAT!$A$10:$J$273,10,FALSE)</f>
        <v>2260</v>
      </c>
      <c r="P266" s="400"/>
      <c r="Q266" s="402">
        <f>+O266</f>
        <v>2260</v>
      </c>
    </row>
    <row r="267" spans="1:17">
      <c r="A267" s="348">
        <v>249</v>
      </c>
      <c r="B267" s="348" t="s">
        <v>306</v>
      </c>
      <c r="C267" s="348" t="s">
        <v>558</v>
      </c>
      <c r="D267" s="348">
        <v>972</v>
      </c>
      <c r="E267" s="348">
        <v>1.2E-2</v>
      </c>
      <c r="F267" s="381"/>
      <c r="G267" s="350">
        <f t="shared" si="25"/>
        <v>4966.0205309734565</v>
      </c>
      <c r="H267" s="384">
        <f t="shared" si="20"/>
        <v>5.9997000149992466E-4</v>
      </c>
      <c r="I267" s="350">
        <f t="shared" si="21"/>
        <v>242.37965955881666</v>
      </c>
      <c r="J267" s="350">
        <f t="shared" si="22"/>
        <v>60.594914889704164</v>
      </c>
      <c r="K267" s="350">
        <f t="shared" si="23"/>
        <v>181.78474466911248</v>
      </c>
      <c r="L267" s="350">
        <f t="shared" si="24"/>
        <v>48</v>
      </c>
      <c r="N267" s="350"/>
      <c r="O267" s="398">
        <f>+VLOOKUP(C267,Pop_ISTAT!$A$10:$J$273,10,FALSE)</f>
        <v>1274</v>
      </c>
    </row>
    <row r="268" spans="1:17">
      <c r="A268" s="348">
        <v>250</v>
      </c>
      <c r="B268" s="348" t="s">
        <v>309</v>
      </c>
      <c r="C268" s="348" t="s">
        <v>559</v>
      </c>
      <c r="D268" s="348">
        <v>852</v>
      </c>
      <c r="E268" s="348">
        <v>1.0999999999999999E-2</v>
      </c>
      <c r="F268" s="381"/>
      <c r="G268" s="350">
        <f t="shared" si="25"/>
        <v>4552.1854867256679</v>
      </c>
      <c r="H268" s="384">
        <f t="shared" si="20"/>
        <v>5.4997250137493086E-4</v>
      </c>
      <c r="I268" s="350">
        <f t="shared" si="21"/>
        <v>212.45624479846893</v>
      </c>
      <c r="J268" s="350">
        <f t="shared" si="22"/>
        <v>53.114061199617232</v>
      </c>
      <c r="K268" s="350">
        <f t="shared" si="23"/>
        <v>159.3421835988517</v>
      </c>
      <c r="L268" s="350">
        <f t="shared" si="24"/>
        <v>44</v>
      </c>
      <c r="N268" s="350"/>
      <c r="O268" s="398">
        <f>+VLOOKUP(C268,Pop_ISTAT!$A$10:$J$273,10,FALSE)</f>
        <v>603</v>
      </c>
    </row>
    <row r="269" spans="1:17">
      <c r="A269" s="348">
        <v>251</v>
      </c>
      <c r="B269" s="348" t="s">
        <v>309</v>
      </c>
      <c r="C269" s="348" t="s">
        <v>560</v>
      </c>
      <c r="D269" s="348">
        <v>181</v>
      </c>
      <c r="E269" s="348">
        <v>2E-3</v>
      </c>
      <c r="F269" s="381"/>
      <c r="G269" s="350">
        <f t="shared" si="25"/>
        <v>827.67008849557601</v>
      </c>
      <c r="H269" s="384">
        <f t="shared" si="20"/>
        <v>9.999500024998743E-5</v>
      </c>
      <c r="I269" s="350">
        <f t="shared" si="21"/>
        <v>45.134483930191166</v>
      </c>
      <c r="J269" s="350">
        <f t="shared" si="22"/>
        <v>11.283620982547792</v>
      </c>
      <c r="K269" s="350">
        <f t="shared" si="23"/>
        <v>33.850862947643378</v>
      </c>
      <c r="L269" s="350">
        <f t="shared" si="24"/>
        <v>8</v>
      </c>
      <c r="N269" s="350"/>
      <c r="O269" s="398">
        <f>+VLOOKUP(C269,Pop_ISTAT!$A$10:$J$273,10,FALSE)</f>
        <v>616</v>
      </c>
    </row>
    <row r="270" spans="1:17">
      <c r="A270" s="348">
        <v>252</v>
      </c>
      <c r="B270" s="348" t="s">
        <v>309</v>
      </c>
      <c r="C270" s="348" t="s">
        <v>561</v>
      </c>
      <c r="D270" s="348">
        <v>129</v>
      </c>
      <c r="E270" s="348">
        <v>2E-3</v>
      </c>
      <c r="F270" s="381"/>
      <c r="G270" s="350">
        <f t="shared" si="25"/>
        <v>827.67008849557601</v>
      </c>
      <c r="H270" s="384">
        <f t="shared" si="20"/>
        <v>9.999500024998743E-5</v>
      </c>
      <c r="I270" s="350">
        <f t="shared" si="21"/>
        <v>32.167670867373815</v>
      </c>
      <c r="J270" s="350">
        <f t="shared" si="22"/>
        <v>8.0419177168434537</v>
      </c>
      <c r="K270" s="350">
        <f t="shared" si="23"/>
        <v>24.125753150530361</v>
      </c>
      <c r="L270" s="350">
        <f t="shared" si="24"/>
        <v>8</v>
      </c>
      <c r="N270" s="350"/>
      <c r="O270" s="398">
        <f>+VLOOKUP(C270,Pop_ISTAT!$A$10:$J$273,10,FALSE)</f>
        <v>842</v>
      </c>
    </row>
    <row r="271" spans="1:17">
      <c r="A271" s="348">
        <v>253</v>
      </c>
      <c r="B271" s="348" t="s">
        <v>309</v>
      </c>
      <c r="C271" s="348" t="s">
        <v>562</v>
      </c>
      <c r="D271" s="348">
        <v>84</v>
      </c>
      <c r="E271" s="348">
        <v>1E-3</v>
      </c>
      <c r="F271" s="381"/>
      <c r="G271" s="350">
        <f t="shared" si="25"/>
        <v>413.83504424778801</v>
      </c>
      <c r="H271" s="384">
        <f t="shared" si="20"/>
        <v>4.9997500124993715E-5</v>
      </c>
      <c r="I271" s="350">
        <f t="shared" si="21"/>
        <v>20.946390332243414</v>
      </c>
      <c r="J271" s="350">
        <f t="shared" si="22"/>
        <v>5.2365975830608535</v>
      </c>
      <c r="K271" s="350">
        <f t="shared" si="23"/>
        <v>15.709792749182562</v>
      </c>
      <c r="L271" s="350">
        <f t="shared" si="24"/>
        <v>4</v>
      </c>
      <c r="N271" s="350"/>
      <c r="O271" s="398">
        <f>+VLOOKUP(C271,Pop_ISTAT!$A$10:$J$273,10,FALSE)</f>
        <v>1298</v>
      </c>
    </row>
    <row r="272" spans="1:17">
      <c r="A272" s="348">
        <v>254</v>
      </c>
      <c r="B272" s="348" t="s">
        <v>309</v>
      </c>
      <c r="C272" s="348" t="s">
        <v>563</v>
      </c>
      <c r="D272" s="348">
        <v>80</v>
      </c>
      <c r="E272" s="348">
        <v>1E-3</v>
      </c>
      <c r="F272" s="381"/>
      <c r="G272" s="350">
        <f t="shared" si="25"/>
        <v>413.83504424778801</v>
      </c>
      <c r="H272" s="384">
        <f t="shared" si="20"/>
        <v>4.9997500124993715E-5</v>
      </c>
      <c r="I272" s="350">
        <f t="shared" si="21"/>
        <v>19.948943173565155</v>
      </c>
      <c r="J272" s="350">
        <f t="shared" si="22"/>
        <v>4.9872357933912888</v>
      </c>
      <c r="K272" s="350">
        <f t="shared" si="23"/>
        <v>14.961707380173866</v>
      </c>
      <c r="L272" s="350">
        <f t="shared" si="24"/>
        <v>4</v>
      </c>
      <c r="N272" s="350"/>
      <c r="O272" s="398">
        <f>+VLOOKUP(C272,Pop_ISTAT!$A$10:$J$273,10,FALSE)</f>
        <v>1499</v>
      </c>
    </row>
    <row r="273" spans="1:15">
      <c r="A273" s="348">
        <v>255</v>
      </c>
      <c r="B273" s="348" t="s">
        <v>309</v>
      </c>
      <c r="C273" s="348" t="s">
        <v>564</v>
      </c>
      <c r="D273" s="348">
        <v>60</v>
      </c>
      <c r="E273" s="348">
        <v>1E-3</v>
      </c>
      <c r="F273" s="381"/>
      <c r="G273" s="350">
        <f t="shared" si="25"/>
        <v>413.83504424778801</v>
      </c>
      <c r="H273" s="384">
        <f t="shared" si="20"/>
        <v>4.9997500124993715E-5</v>
      </c>
      <c r="I273" s="350">
        <f t="shared" si="21"/>
        <v>14.961707380173868</v>
      </c>
      <c r="J273" s="350">
        <f t="shared" si="22"/>
        <v>3.740426845043467</v>
      </c>
      <c r="K273" s="350">
        <f t="shared" si="23"/>
        <v>11.221280535130401</v>
      </c>
      <c r="L273" s="350">
        <f t="shared" si="24"/>
        <v>4</v>
      </c>
      <c r="N273" s="350"/>
      <c r="O273" s="398">
        <f>+VLOOKUP(C273,Pop_ISTAT!$A$10:$J$273,10,FALSE)</f>
        <v>834</v>
      </c>
    </row>
    <row r="274" spans="1:15">
      <c r="A274" s="348">
        <v>256</v>
      </c>
      <c r="B274" s="348" t="s">
        <v>309</v>
      </c>
      <c r="C274" s="348" t="s">
        <v>565</v>
      </c>
      <c r="D274" s="348">
        <v>53</v>
      </c>
      <c r="E274" s="348">
        <v>1E-3</v>
      </c>
      <c r="F274" s="381"/>
      <c r="G274" s="350">
        <f t="shared" si="25"/>
        <v>413.83504424778801</v>
      </c>
      <c r="H274" s="384">
        <f t="shared" si="20"/>
        <v>4.9997500124993715E-5</v>
      </c>
      <c r="I274" s="350">
        <f t="shared" si="21"/>
        <v>13.216174852486917</v>
      </c>
      <c r="J274" s="350">
        <f t="shared" si="22"/>
        <v>3.3040437131217293</v>
      </c>
      <c r="K274" s="350">
        <f t="shared" si="23"/>
        <v>9.9121311393651883</v>
      </c>
      <c r="L274" s="350">
        <f t="shared" si="24"/>
        <v>4</v>
      </c>
      <c r="N274" s="350"/>
      <c r="O274" s="398">
        <f>+VLOOKUP(C274,Pop_ISTAT!$A$10:$J$273,10,FALSE)</f>
        <v>777</v>
      </c>
    </row>
    <row r="275" spans="1:15">
      <c r="A275" s="348">
        <v>257</v>
      </c>
      <c r="B275" s="348" t="s">
        <v>309</v>
      </c>
      <c r="C275" s="348" t="s">
        <v>566</v>
      </c>
      <c r="D275" s="348">
        <v>28</v>
      </c>
      <c r="E275" s="348">
        <v>1E-3</v>
      </c>
      <c r="F275" s="381"/>
      <c r="G275" s="350">
        <f t="shared" si="25"/>
        <v>413.83504424778801</v>
      </c>
      <c r="H275" s="384">
        <f t="shared" si="20"/>
        <v>4.9997500124993715E-5</v>
      </c>
      <c r="I275" s="350">
        <f t="shared" si="21"/>
        <v>6.9821301107478053</v>
      </c>
      <c r="J275" s="350">
        <f t="shared" si="22"/>
        <v>1.7455325276869513</v>
      </c>
      <c r="K275" s="350">
        <f t="shared" si="23"/>
        <v>5.2365975830608544</v>
      </c>
      <c r="L275" s="350">
        <f t="shared" si="24"/>
        <v>4</v>
      </c>
      <c r="N275" s="350"/>
      <c r="O275" s="398">
        <f>+VLOOKUP(C275,Pop_ISTAT!$A$10:$J$273,10,FALSE)</f>
        <v>143</v>
      </c>
    </row>
    <row r="276" spans="1:15">
      <c r="A276" s="521" t="s">
        <v>567</v>
      </c>
      <c r="B276" s="522"/>
      <c r="C276" s="523"/>
      <c r="D276" s="352">
        <v>1604092</v>
      </c>
      <c r="E276" s="353">
        <v>20</v>
      </c>
      <c r="F276" s="350"/>
      <c r="L276" s="350">
        <f>+$D$10*$E276/100</f>
        <v>80000</v>
      </c>
    </row>
  </sheetData>
  <autoFilter ref="A18:Q276" xr:uid="{E8A35E15-6B27-8742-8688-9E36C34AFA04}"/>
  <mergeCells count="2">
    <mergeCell ref="A17:E17"/>
    <mergeCell ref="A276:C276"/>
  </mergeCells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2C3BD-2C0E-B541-97A0-1E670E3FEAB7}">
  <sheetPr>
    <pageSetUpPr fitToPage="1"/>
  </sheetPr>
  <dimension ref="A2:W278"/>
  <sheetViews>
    <sheetView topLeftCell="A8" zoomScale="130" zoomScaleNormal="130" workbookViewId="0">
      <selection activeCell="K32" sqref="K32"/>
    </sheetView>
  </sheetViews>
  <sheetFormatPr defaultColWidth="8.85546875" defaultRowHeight="12.75" outlineLevelRow="3"/>
  <cols>
    <col min="1" max="2" width="8.85546875" customWidth="1"/>
    <col min="3" max="3" width="41.85546875" customWidth="1"/>
    <col min="4" max="4" width="16.140625" bestFit="1" customWidth="1"/>
    <col min="5" max="6" width="8.85546875" customWidth="1"/>
    <col min="7" max="7" width="14.7109375" bestFit="1" customWidth="1"/>
    <col min="8" max="8" width="11.85546875" bestFit="1" customWidth="1"/>
    <col min="9" max="9" width="14.28515625" bestFit="1" customWidth="1"/>
    <col min="10" max="10" width="12.140625" bestFit="1" customWidth="1"/>
    <col min="11" max="11" width="12" bestFit="1" customWidth="1"/>
    <col min="12" max="12" width="11" bestFit="1" customWidth="1"/>
    <col min="13" max="13" width="9.42578125" bestFit="1" customWidth="1"/>
    <col min="14" max="14" width="12" bestFit="1" customWidth="1"/>
    <col min="15" max="15" width="12.140625" bestFit="1" customWidth="1"/>
    <col min="16" max="17" width="14.7109375" bestFit="1" customWidth="1"/>
    <col min="18" max="18" width="8.85546875" customWidth="1"/>
    <col min="19" max="19" width="16.42578125" bestFit="1" customWidth="1"/>
    <col min="20" max="20" width="18" bestFit="1" customWidth="1"/>
    <col min="21" max="21" width="29.85546875" bestFit="1" customWidth="1"/>
    <col min="22" max="22" width="12" customWidth="1"/>
    <col min="23" max="23" width="21.7109375" customWidth="1"/>
  </cols>
  <sheetData>
    <row r="2" spans="1:23">
      <c r="C2" t="s">
        <v>600</v>
      </c>
      <c r="D2" s="350">
        <v>41385573.600000001</v>
      </c>
      <c r="S2" s="416" t="s">
        <v>916</v>
      </c>
      <c r="T2" s="416" t="s">
        <v>917</v>
      </c>
      <c r="U2" s="416" t="s">
        <v>918</v>
      </c>
      <c r="V2" s="416" t="s">
        <v>919</v>
      </c>
      <c r="W2" s="416" t="s">
        <v>920</v>
      </c>
    </row>
    <row r="3" spans="1:23">
      <c r="S3" s="417">
        <f>+COUNTA(P19:P25)</f>
        <v>6</v>
      </c>
      <c r="T3" s="418">
        <f>+SUM(P19:P25)</f>
        <v>914756</v>
      </c>
      <c r="U3" s="417" t="s">
        <v>921</v>
      </c>
      <c r="V3" s="419"/>
      <c r="W3" s="417" t="s">
        <v>922</v>
      </c>
    </row>
    <row r="4" spans="1:23">
      <c r="C4" s="420" t="s">
        <v>620</v>
      </c>
      <c r="D4" s="343">
        <v>0.2</v>
      </c>
      <c r="S4" s="417">
        <f>+COUNTA(P26:P47)</f>
        <v>21</v>
      </c>
      <c r="T4" s="418">
        <f>+SUM(P26:P47)</f>
        <v>919893</v>
      </c>
      <c r="U4" s="504" t="s">
        <v>946</v>
      </c>
      <c r="V4" s="421"/>
      <c r="W4" s="417" t="s">
        <v>923</v>
      </c>
    </row>
    <row r="5" spans="1:23">
      <c r="C5" s="420"/>
      <c r="D5" s="343"/>
      <c r="S5" s="417">
        <f>+COUNTA(Q48:Q62)</f>
        <v>14</v>
      </c>
      <c r="T5" s="418">
        <f>+SUM(Q48:Q62)</f>
        <v>346079</v>
      </c>
      <c r="U5" s="504" t="s">
        <v>948</v>
      </c>
      <c r="V5" s="422"/>
      <c r="W5" s="417" t="s">
        <v>924</v>
      </c>
    </row>
    <row r="6" spans="1:23">
      <c r="C6" s="420" t="s">
        <v>621</v>
      </c>
      <c r="D6" s="350">
        <f>+D2*D4</f>
        <v>8277114.7200000007</v>
      </c>
      <c r="S6" s="417">
        <f>+COUNTA(Q63:Q126)-2</f>
        <v>60</v>
      </c>
      <c r="T6" s="418">
        <f>+SUM(Q63:Q126)-Q110-Q123</f>
        <v>862256</v>
      </c>
      <c r="U6" s="504" t="s">
        <v>947</v>
      </c>
      <c r="V6" s="423"/>
      <c r="W6" s="417" t="s">
        <v>925</v>
      </c>
    </row>
    <row r="7" spans="1:23">
      <c r="C7" s="420"/>
      <c r="D7" s="343"/>
      <c r="P7" s="350">
        <f>+$I$14/($P$14+$Q$14)*$P$14</f>
        <v>196124.17227346468</v>
      </c>
      <c r="Q7" s="350">
        <f>+$I$14/($P$14+$Q$14)*$Q$14</f>
        <v>203875.82772653509</v>
      </c>
      <c r="S7" s="417">
        <f>+COUNTA(Q127:Q187)-3</f>
        <v>56</v>
      </c>
      <c r="T7" s="418">
        <f>+SUM(Q127:Q187)-Q151-Q169-Q179</f>
        <v>383391</v>
      </c>
      <c r="U7" s="417" t="s">
        <v>926</v>
      </c>
      <c r="V7" s="424"/>
      <c r="W7" s="417" t="s">
        <v>927</v>
      </c>
    </row>
    <row r="8" spans="1:23">
      <c r="D8" s="350">
        <f>+D10/E10*E8</f>
        <v>1600000</v>
      </c>
      <c r="E8" s="343">
        <v>0.8</v>
      </c>
      <c r="I8" t="s">
        <v>601</v>
      </c>
      <c r="P8" s="350"/>
      <c r="Q8" s="350"/>
      <c r="S8" s="417">
        <f>+COUNTA(Q188:Q275)-3</f>
        <v>85</v>
      </c>
      <c r="T8" s="418">
        <f>+SUM(Q188:Q275)-Q215-Q231-Q255</f>
        <v>208364</v>
      </c>
      <c r="U8" s="417" t="s">
        <v>928</v>
      </c>
      <c r="V8" s="425"/>
      <c r="W8" s="417" t="s">
        <v>929</v>
      </c>
    </row>
    <row r="9" spans="1:23">
      <c r="P9" s="350">
        <f>+$I$14/($P$11+$Q$11)*$P$11</f>
        <v>149999.99999999991</v>
      </c>
      <c r="Q9" s="350">
        <f>+$I$14/($P$11+$Q$11)*$Q$11</f>
        <v>249999.99999999985</v>
      </c>
      <c r="S9" s="417">
        <v>5</v>
      </c>
      <c r="T9" s="418">
        <f>+P51+P105+P109+P143+P168</f>
        <v>64895</v>
      </c>
      <c r="U9" s="417" t="s">
        <v>930</v>
      </c>
      <c r="V9" s="426"/>
      <c r="W9" s="417"/>
    </row>
    <row r="10" spans="1:23">
      <c r="C10" t="s">
        <v>568</v>
      </c>
      <c r="D10" s="350">
        <v>400000</v>
      </c>
      <c r="E10" s="343">
        <v>0.2</v>
      </c>
      <c r="F10">
        <f>+D10*E10</f>
        <v>80000</v>
      </c>
      <c r="P10" s="350"/>
      <c r="Q10" s="350"/>
      <c r="S10" s="417">
        <v>10</v>
      </c>
      <c r="T10" s="418">
        <f>+Q22+Q43+Q110+Q123+Q151+Q169+Q179+Q231+Q215+Q255</f>
        <v>174532</v>
      </c>
      <c r="U10" s="417" t="s">
        <v>931</v>
      </c>
      <c r="V10" s="427"/>
      <c r="W10" s="417"/>
    </row>
    <row r="11" spans="1:23">
      <c r="P11" s="350">
        <f>+$O$14/(400000)*150000</f>
        <v>1452812.25</v>
      </c>
      <c r="Q11" s="350">
        <f>+$O$14/(400000)*250000</f>
        <v>2421353.75</v>
      </c>
      <c r="S11" s="501">
        <f>SUM(S3:S10)</f>
        <v>257</v>
      </c>
      <c r="T11" s="502">
        <f>SUM(T3:T10)</f>
        <v>3874166</v>
      </c>
      <c r="U11" s="501" t="s">
        <v>932</v>
      </c>
      <c r="V11" s="503"/>
      <c r="W11" s="503"/>
    </row>
    <row r="12" spans="1:23">
      <c r="C12" t="s">
        <v>599</v>
      </c>
      <c r="D12" s="350">
        <f>+D2/D14</f>
        <v>25.799951748493701</v>
      </c>
    </row>
    <row r="14" spans="1:23">
      <c r="A14" s="462">
        <f>+COUNTA(A19:A275)</f>
        <v>257</v>
      </c>
      <c r="B14" s="461"/>
      <c r="C14" s="462" t="s">
        <v>598</v>
      </c>
      <c r="D14" s="512">
        <f>+SUM(D19:D275)</f>
        <v>1604095</v>
      </c>
      <c r="E14" s="513">
        <f>+SUM(E19:E275)</f>
        <v>20.000999999999991</v>
      </c>
      <c r="F14" s="512"/>
      <c r="G14" s="514">
        <f t="shared" ref="G14:T14" si="0">+SUM(G19:G275)</f>
        <v>8277114.7200000091</v>
      </c>
      <c r="H14" s="515">
        <f t="shared" si="0"/>
        <v>0.99999999999999978</v>
      </c>
      <c r="I14" s="516">
        <f t="shared" si="0"/>
        <v>399999.99999999977</v>
      </c>
      <c r="J14" s="516">
        <f t="shared" si="0"/>
        <v>99999.999999999942</v>
      </c>
      <c r="K14" s="464">
        <f t="shared" si="0"/>
        <v>300000.00000000012</v>
      </c>
      <c r="L14" s="463">
        <f t="shared" si="0"/>
        <v>80004</v>
      </c>
      <c r="M14" s="463">
        <f t="shared" si="0"/>
        <v>0</v>
      </c>
      <c r="N14" s="464">
        <f t="shared" si="0"/>
        <v>50000</v>
      </c>
      <c r="O14" s="465">
        <f t="shared" si="0"/>
        <v>3874166</v>
      </c>
      <c r="P14" s="465">
        <f t="shared" si="0"/>
        <v>1899544</v>
      </c>
      <c r="Q14" s="465">
        <f t="shared" si="0"/>
        <v>1974622</v>
      </c>
      <c r="R14" s="465"/>
      <c r="S14" s="490">
        <f t="shared" si="0"/>
        <v>149185.42854382072</v>
      </c>
      <c r="T14" s="490">
        <f t="shared" si="0"/>
        <v>250814.57145617943</v>
      </c>
    </row>
    <row r="15" spans="1:23">
      <c r="S15" s="350"/>
    </row>
    <row r="17" spans="1:20">
      <c r="A17" s="521" t="s">
        <v>361</v>
      </c>
      <c r="B17" s="522"/>
      <c r="C17" s="522"/>
      <c r="D17" s="522"/>
      <c r="E17" s="523"/>
    </row>
    <row r="18" spans="1:20" ht="102">
      <c r="A18" s="428" t="s">
        <v>301</v>
      </c>
      <c r="B18" s="428" t="s">
        <v>302</v>
      </c>
      <c r="C18" s="428" t="s">
        <v>303</v>
      </c>
      <c r="D18" s="428" t="s">
        <v>304</v>
      </c>
      <c r="E18" s="428" t="s">
        <v>305</v>
      </c>
      <c r="F18" s="377" t="s">
        <v>612</v>
      </c>
      <c r="G18" s="377" t="s">
        <v>613</v>
      </c>
      <c r="H18" s="377" t="s">
        <v>614</v>
      </c>
      <c r="I18" s="377" t="s">
        <v>615</v>
      </c>
      <c r="J18" s="377" t="s">
        <v>616</v>
      </c>
      <c r="K18" s="377" t="s">
        <v>617</v>
      </c>
      <c r="L18" s="377" t="s">
        <v>569</v>
      </c>
      <c r="M18" s="377" t="s">
        <v>570</v>
      </c>
      <c r="N18" s="377" t="s">
        <v>622</v>
      </c>
      <c r="O18" s="377" t="s">
        <v>639</v>
      </c>
      <c r="P18" s="377" t="s">
        <v>906</v>
      </c>
      <c r="Q18" s="377" t="s">
        <v>907</v>
      </c>
      <c r="R18" s="428" t="s">
        <v>933</v>
      </c>
      <c r="S18" s="377" t="s">
        <v>938</v>
      </c>
      <c r="T18" s="377" t="s">
        <v>939</v>
      </c>
    </row>
    <row r="19" spans="1:20" outlineLevel="3">
      <c r="A19" s="429">
        <v>1</v>
      </c>
      <c r="B19" s="429" t="s">
        <v>306</v>
      </c>
      <c r="C19" s="429" t="s">
        <v>640</v>
      </c>
      <c r="D19" s="430">
        <v>73025</v>
      </c>
      <c r="E19" s="431">
        <v>0.91</v>
      </c>
      <c r="F19" s="432"/>
      <c r="G19" s="433">
        <f t="shared" ref="G19:G82" si="1">+$D$6*E19/$E$14</f>
        <v>376589.89026548696</v>
      </c>
      <c r="H19" s="434">
        <f t="shared" ref="H19:H82" si="2">+G19/$G$14</f>
        <v>4.5497725113744295E-2</v>
      </c>
      <c r="I19" s="433">
        <f t="shared" ref="I19:I82" si="3">+$D$10/$D$14*D19</f>
        <v>18209.644690619945</v>
      </c>
      <c r="J19" s="433">
        <f t="shared" ref="J19:J82" si="4">+I19*25%</f>
        <v>4552.4111726549863</v>
      </c>
      <c r="K19" s="433">
        <f t="shared" ref="K19:K82" si="5">+I19-J19</f>
        <v>13657.23351796496</v>
      </c>
      <c r="L19" s="433">
        <f t="shared" ref="L19:L82" si="6">+$D$10*$E19/100</f>
        <v>3640</v>
      </c>
      <c r="M19" s="435"/>
      <c r="N19" s="433"/>
      <c r="O19" s="436">
        <f>+VLOOKUP(C19,Pop_ISTAT!$A$10:$J$273,10,FALSE)</f>
        <v>315473</v>
      </c>
      <c r="P19" s="437">
        <f>+O19</f>
        <v>315473</v>
      </c>
      <c r="Q19" s="435"/>
      <c r="R19" s="429">
        <v>1</v>
      </c>
      <c r="S19" s="350">
        <f>+IF(P19="",0,I19)</f>
        <v>18209.644690619945</v>
      </c>
      <c r="T19" s="350">
        <f>+IF(Q19="",0,I19)</f>
        <v>0</v>
      </c>
    </row>
    <row r="20" spans="1:20" outlineLevel="3">
      <c r="A20" s="429">
        <v>2</v>
      </c>
      <c r="B20" s="429" t="s">
        <v>307</v>
      </c>
      <c r="C20" s="429" t="s">
        <v>308</v>
      </c>
      <c r="D20" s="430">
        <v>58781</v>
      </c>
      <c r="E20" s="429">
        <v>0.73299999999999998</v>
      </c>
      <c r="F20" s="432"/>
      <c r="G20" s="433">
        <f t="shared" si="1"/>
        <v>303341.08743362851</v>
      </c>
      <c r="H20" s="434">
        <f t="shared" si="2"/>
        <v>3.6648167591620401E-2</v>
      </c>
      <c r="I20" s="433">
        <f t="shared" si="3"/>
        <v>14657.735358566668</v>
      </c>
      <c r="J20" s="433">
        <f t="shared" si="4"/>
        <v>3664.433839641667</v>
      </c>
      <c r="K20" s="433">
        <f t="shared" si="5"/>
        <v>10993.301518925</v>
      </c>
      <c r="L20" s="433">
        <f t="shared" si="6"/>
        <v>2932</v>
      </c>
      <c r="M20" s="435"/>
      <c r="N20" s="433"/>
      <c r="O20" s="436">
        <f>+VLOOKUP(C20,Pop_ISTAT!$A$10:$J$273,10,FALSE)</f>
        <v>185909</v>
      </c>
      <c r="P20" s="438">
        <f>+O20</f>
        <v>185909</v>
      </c>
      <c r="Q20" s="435"/>
      <c r="R20" s="429">
        <v>2</v>
      </c>
      <c r="S20" s="350">
        <f t="shared" ref="S20:S83" si="7">+IF(P20="",0,I20)</f>
        <v>14657.735358566668</v>
      </c>
      <c r="T20" s="350">
        <f t="shared" ref="T20:T83" si="8">+IF(Q20="",0,I20)</f>
        <v>0</v>
      </c>
    </row>
    <row r="21" spans="1:20" outlineLevel="3">
      <c r="A21" s="429">
        <v>3</v>
      </c>
      <c r="B21" s="429" t="s">
        <v>309</v>
      </c>
      <c r="C21" s="429" t="s">
        <v>310</v>
      </c>
      <c r="D21" s="430">
        <v>39522</v>
      </c>
      <c r="E21" s="429">
        <v>0.49299999999999999</v>
      </c>
      <c r="F21" s="432"/>
      <c r="G21" s="433">
        <f t="shared" si="1"/>
        <v>204020.67681415941</v>
      </c>
      <c r="H21" s="434">
        <f t="shared" si="2"/>
        <v>2.4648767561621907E-2</v>
      </c>
      <c r="I21" s="433">
        <f t="shared" si="3"/>
        <v>9855.2766513205261</v>
      </c>
      <c r="J21" s="433">
        <f t="shared" si="4"/>
        <v>2463.8191628301315</v>
      </c>
      <c r="K21" s="433">
        <f t="shared" si="5"/>
        <v>7391.4574884903941</v>
      </c>
      <c r="L21" s="433">
        <f t="shared" si="6"/>
        <v>1972</v>
      </c>
      <c r="M21" s="435"/>
      <c r="N21" s="433"/>
      <c r="O21" s="436">
        <f>+VLOOKUP(C21,Pop_ISTAT!$A$10:$J$273,10,FALSE)</f>
        <v>145447</v>
      </c>
      <c r="P21" s="438">
        <f>+O21</f>
        <v>145447</v>
      </c>
      <c r="Q21" s="435"/>
      <c r="R21" s="429">
        <v>3</v>
      </c>
      <c r="S21" s="350">
        <f t="shared" si="7"/>
        <v>9855.2766513205261</v>
      </c>
      <c r="T21" s="350">
        <f t="shared" si="8"/>
        <v>0</v>
      </c>
    </row>
    <row r="22" spans="1:20" outlineLevel="3">
      <c r="A22" s="439">
        <v>9</v>
      </c>
      <c r="B22" s="439" t="s">
        <v>313</v>
      </c>
      <c r="C22" s="439" t="s">
        <v>319</v>
      </c>
      <c r="D22" s="440">
        <v>23061</v>
      </c>
      <c r="E22" s="439">
        <v>0.28799999999999998</v>
      </c>
      <c r="F22" s="441" t="s">
        <v>618</v>
      </c>
      <c r="G22" s="442">
        <f t="shared" si="1"/>
        <v>119184.49274336288</v>
      </c>
      <c r="H22" s="443">
        <f t="shared" si="2"/>
        <v>1.4399280035998189E-2</v>
      </c>
      <c r="I22" s="442">
        <f t="shared" si="3"/>
        <v>5750.5322315698259</v>
      </c>
      <c r="J22" s="442">
        <f t="shared" si="4"/>
        <v>1437.6330578924565</v>
      </c>
      <c r="K22" s="442">
        <f t="shared" si="5"/>
        <v>4312.8991736773696</v>
      </c>
      <c r="L22" s="442">
        <f t="shared" si="6"/>
        <v>1151.9999999999998</v>
      </c>
      <c r="M22" s="444"/>
      <c r="N22" s="442"/>
      <c r="O22" s="445">
        <f>+VLOOKUP(C22,Pop_ISTAT!$A$10:$J$273,10,FALSE)</f>
        <v>96607</v>
      </c>
      <c r="P22" s="444"/>
      <c r="Q22" s="446">
        <f>+O22</f>
        <v>96607</v>
      </c>
      <c r="R22" s="439">
        <v>4</v>
      </c>
      <c r="S22" s="380">
        <f t="shared" si="7"/>
        <v>0</v>
      </c>
      <c r="T22" s="380">
        <f t="shared" si="8"/>
        <v>5750.5322315698259</v>
      </c>
    </row>
    <row r="23" spans="1:20" outlineLevel="3">
      <c r="A23" s="429">
        <v>4</v>
      </c>
      <c r="B23" s="429" t="s">
        <v>311</v>
      </c>
      <c r="C23" s="429" t="s">
        <v>312</v>
      </c>
      <c r="D23" s="430">
        <v>34230</v>
      </c>
      <c r="E23" s="429">
        <v>0.42699999999999999</v>
      </c>
      <c r="F23" s="432"/>
      <c r="G23" s="433">
        <f t="shared" si="1"/>
        <v>176707.5638938054</v>
      </c>
      <c r="H23" s="434">
        <f t="shared" si="2"/>
        <v>2.1348932553372318E-2</v>
      </c>
      <c r="I23" s="433">
        <f t="shared" si="3"/>
        <v>8535.6540603891917</v>
      </c>
      <c r="J23" s="433">
        <f t="shared" si="4"/>
        <v>2133.9135150972979</v>
      </c>
      <c r="K23" s="433">
        <f t="shared" si="5"/>
        <v>6401.7405452918938</v>
      </c>
      <c r="L23" s="433">
        <f t="shared" si="6"/>
        <v>1708</v>
      </c>
      <c r="M23" s="435"/>
      <c r="N23" s="433"/>
      <c r="O23" s="436">
        <f>+VLOOKUP(C23,Pop_ISTAT!$A$10:$J$273,10,FALSE)</f>
        <v>94253</v>
      </c>
      <c r="P23" s="438">
        <f t="shared" ref="P23:P47" si="9">+O23</f>
        <v>94253</v>
      </c>
      <c r="Q23" s="435"/>
      <c r="R23" s="429">
        <v>5</v>
      </c>
      <c r="S23" s="350">
        <f t="shared" si="7"/>
        <v>8535.6540603891917</v>
      </c>
      <c r="T23" s="350">
        <f t="shared" si="8"/>
        <v>0</v>
      </c>
    </row>
    <row r="24" spans="1:20" outlineLevel="3">
      <c r="A24" s="429">
        <v>5</v>
      </c>
      <c r="B24" s="429" t="s">
        <v>313</v>
      </c>
      <c r="C24" s="429" t="s">
        <v>314</v>
      </c>
      <c r="D24" s="430">
        <v>29829</v>
      </c>
      <c r="E24" s="429">
        <v>0.372</v>
      </c>
      <c r="F24" s="432"/>
      <c r="G24" s="433">
        <f t="shared" si="1"/>
        <v>153946.63646017708</v>
      </c>
      <c r="H24" s="434">
        <f t="shared" si="2"/>
        <v>1.8599070046497666E-2</v>
      </c>
      <c r="I24" s="433">
        <f t="shared" si="3"/>
        <v>7438.2128240534385</v>
      </c>
      <c r="J24" s="433">
        <f t="shared" si="4"/>
        <v>1859.5532060133596</v>
      </c>
      <c r="K24" s="433">
        <f t="shared" si="5"/>
        <v>5578.6596180400793</v>
      </c>
      <c r="L24" s="433">
        <f t="shared" si="6"/>
        <v>1488</v>
      </c>
      <c r="M24" s="435"/>
      <c r="N24" s="433"/>
      <c r="O24" s="436">
        <f>+VLOOKUP(C24,Pop_ISTAT!$A$10:$J$273,10,FALSE)</f>
        <v>92010</v>
      </c>
      <c r="P24" s="438">
        <f t="shared" si="9"/>
        <v>92010</v>
      </c>
      <c r="Q24" s="435"/>
      <c r="R24" s="429">
        <v>6</v>
      </c>
      <c r="S24" s="350">
        <f t="shared" si="7"/>
        <v>7438.2128240534385</v>
      </c>
      <c r="T24" s="350">
        <f t="shared" si="8"/>
        <v>0</v>
      </c>
    </row>
    <row r="25" spans="1:20" outlineLevel="3">
      <c r="A25" s="429">
        <v>7</v>
      </c>
      <c r="B25" s="429" t="s">
        <v>315</v>
      </c>
      <c r="C25" s="429" t="s">
        <v>317</v>
      </c>
      <c r="D25" s="430">
        <v>25947</v>
      </c>
      <c r="E25" s="429">
        <v>0.32400000000000001</v>
      </c>
      <c r="F25" s="432"/>
      <c r="G25" s="433">
        <f t="shared" si="1"/>
        <v>134082.55433628327</v>
      </c>
      <c r="H25" s="434">
        <f t="shared" si="2"/>
        <v>1.6199190040497968E-2</v>
      </c>
      <c r="I25" s="433">
        <f t="shared" si="3"/>
        <v>6470.1903565561888</v>
      </c>
      <c r="J25" s="433">
        <f t="shared" si="4"/>
        <v>1617.5475891390472</v>
      </c>
      <c r="K25" s="433">
        <f t="shared" si="5"/>
        <v>4852.6427674171418</v>
      </c>
      <c r="L25" s="433">
        <f t="shared" si="6"/>
        <v>1296</v>
      </c>
      <c r="M25" s="435"/>
      <c r="N25" s="433"/>
      <c r="O25" s="436">
        <f>+VLOOKUP(C25,Pop_ISTAT!$A$10:$J$273,10,FALSE)</f>
        <v>81664</v>
      </c>
      <c r="P25" s="438">
        <f t="shared" si="9"/>
        <v>81664</v>
      </c>
      <c r="Q25" s="435"/>
      <c r="R25" s="429">
        <v>7</v>
      </c>
      <c r="S25" s="350">
        <f t="shared" si="7"/>
        <v>6470.1903565561888</v>
      </c>
      <c r="T25" s="350">
        <f t="shared" si="8"/>
        <v>0</v>
      </c>
    </row>
    <row r="26" spans="1:20" outlineLevel="3">
      <c r="A26" s="429">
        <v>17</v>
      </c>
      <c r="B26" s="429" t="s">
        <v>306</v>
      </c>
      <c r="C26" s="429" t="s">
        <v>326</v>
      </c>
      <c r="D26" s="430">
        <v>16137</v>
      </c>
      <c r="E26" s="429">
        <v>0.20100000000000001</v>
      </c>
      <c r="F26" s="432"/>
      <c r="G26" s="433">
        <f t="shared" si="1"/>
        <v>83180.843893805359</v>
      </c>
      <c r="H26" s="434">
        <f t="shared" si="2"/>
        <v>1.0049497525123739E-2</v>
      </c>
      <c r="I26" s="433">
        <f t="shared" si="3"/>
        <v>4023.9511998977619</v>
      </c>
      <c r="J26" s="433">
        <f t="shared" si="4"/>
        <v>1005.9877999744405</v>
      </c>
      <c r="K26" s="433">
        <f t="shared" si="5"/>
        <v>3017.9633999233215</v>
      </c>
      <c r="L26" s="433">
        <f t="shared" si="6"/>
        <v>804</v>
      </c>
      <c r="M26" s="435"/>
      <c r="N26" s="433"/>
      <c r="O26" s="436">
        <f>+VLOOKUP(C26,Pop_ISTAT!$A$10:$J$273,10,FALSE)</f>
        <v>70094</v>
      </c>
      <c r="P26" s="447">
        <f t="shared" si="9"/>
        <v>70094</v>
      </c>
      <c r="Q26" s="435"/>
      <c r="R26" s="429">
        <v>8</v>
      </c>
      <c r="S26" s="350">
        <f t="shared" si="7"/>
        <v>4023.9511998977619</v>
      </c>
      <c r="T26" s="350">
        <f t="shared" si="8"/>
        <v>0</v>
      </c>
    </row>
    <row r="27" spans="1:20" outlineLevel="3">
      <c r="A27" s="429">
        <v>18</v>
      </c>
      <c r="B27" s="429" t="s">
        <v>306</v>
      </c>
      <c r="C27" s="429" t="s">
        <v>327</v>
      </c>
      <c r="D27" s="430">
        <v>14105</v>
      </c>
      <c r="E27" s="429">
        <v>0.17599999999999999</v>
      </c>
      <c r="F27" s="432"/>
      <c r="G27" s="433">
        <f t="shared" si="1"/>
        <v>72834.967787610658</v>
      </c>
      <c r="H27" s="434">
        <f t="shared" si="2"/>
        <v>8.7995600219988954E-3</v>
      </c>
      <c r="I27" s="433">
        <f t="shared" si="3"/>
        <v>3517.2480432892066</v>
      </c>
      <c r="J27" s="433">
        <f t="shared" si="4"/>
        <v>879.31201082230166</v>
      </c>
      <c r="K27" s="433">
        <f t="shared" si="5"/>
        <v>2637.9360324669051</v>
      </c>
      <c r="L27" s="433">
        <f t="shared" si="6"/>
        <v>704</v>
      </c>
      <c r="M27" s="435"/>
      <c r="N27" s="433"/>
      <c r="O27" s="436">
        <f>+VLOOKUP(C27,Pop_ISTAT!$A$10:$J$273,10,FALSE)</f>
        <v>57147</v>
      </c>
      <c r="P27" s="447">
        <f t="shared" si="9"/>
        <v>57147</v>
      </c>
      <c r="Q27" s="435"/>
      <c r="R27" s="429">
        <v>9</v>
      </c>
      <c r="S27" s="350">
        <f t="shared" si="7"/>
        <v>3517.2480432892066</v>
      </c>
      <c r="T27" s="350">
        <f t="shared" si="8"/>
        <v>0</v>
      </c>
    </row>
    <row r="28" spans="1:20" outlineLevel="3">
      <c r="A28" s="429">
        <v>8</v>
      </c>
      <c r="B28" s="429" t="s">
        <v>309</v>
      </c>
      <c r="C28" s="429" t="s">
        <v>318</v>
      </c>
      <c r="D28" s="430">
        <v>23480</v>
      </c>
      <c r="E28" s="429">
        <v>0.29299999999999998</v>
      </c>
      <c r="F28" s="432"/>
      <c r="G28" s="433">
        <f t="shared" si="1"/>
        <v>121253.66796460183</v>
      </c>
      <c r="H28" s="434">
        <f t="shared" si="2"/>
        <v>1.464926753662316E-2</v>
      </c>
      <c r="I28" s="433">
        <f t="shared" si="3"/>
        <v>5855.0148214413739</v>
      </c>
      <c r="J28" s="433">
        <f t="shared" si="4"/>
        <v>1463.7537053603435</v>
      </c>
      <c r="K28" s="433">
        <f t="shared" si="5"/>
        <v>4391.2611160810302</v>
      </c>
      <c r="L28" s="433">
        <f t="shared" si="6"/>
        <v>1172</v>
      </c>
      <c r="M28" s="435"/>
      <c r="N28" s="433"/>
      <c r="O28" s="436">
        <f>+VLOOKUP(C28,Pop_ISTAT!$A$10:$J$273,10,FALSE)</f>
        <v>56941</v>
      </c>
      <c r="P28" s="447">
        <f t="shared" si="9"/>
        <v>56941</v>
      </c>
      <c r="Q28" s="435"/>
      <c r="R28" s="429">
        <v>10</v>
      </c>
      <c r="S28" s="350">
        <f t="shared" si="7"/>
        <v>5855.0148214413739</v>
      </c>
      <c r="T28" s="350">
        <f t="shared" si="8"/>
        <v>0</v>
      </c>
    </row>
    <row r="29" spans="1:20" outlineLevel="3">
      <c r="A29" s="429">
        <v>16</v>
      </c>
      <c r="B29" s="429" t="s">
        <v>313</v>
      </c>
      <c r="C29" s="429" t="s">
        <v>325</v>
      </c>
      <c r="D29" s="430">
        <v>16320</v>
      </c>
      <c r="E29" s="429">
        <v>0.20300000000000001</v>
      </c>
      <c r="F29" s="432"/>
      <c r="G29" s="433">
        <f t="shared" si="1"/>
        <v>84008.513982300938</v>
      </c>
      <c r="H29" s="434">
        <f t="shared" si="2"/>
        <v>1.0149492525373727E-2</v>
      </c>
      <c r="I29" s="433">
        <f t="shared" si="3"/>
        <v>4069.584407407292</v>
      </c>
      <c r="J29" s="433">
        <f t="shared" si="4"/>
        <v>1017.396101851823</v>
      </c>
      <c r="K29" s="433">
        <f t="shared" si="5"/>
        <v>3052.188305555469</v>
      </c>
      <c r="L29" s="433">
        <f t="shared" si="6"/>
        <v>812</v>
      </c>
      <c r="M29" s="435"/>
      <c r="N29" s="433"/>
      <c r="O29" s="436">
        <f>+VLOOKUP(C29,Pop_ISTAT!$A$10:$J$273,10,FALSE)</f>
        <v>54751</v>
      </c>
      <c r="P29" s="447">
        <f t="shared" si="9"/>
        <v>54751</v>
      </c>
      <c r="Q29" s="435"/>
      <c r="R29" s="429">
        <v>11</v>
      </c>
      <c r="S29" s="350">
        <f t="shared" si="7"/>
        <v>4069.584407407292</v>
      </c>
      <c r="T29" s="350">
        <f t="shared" si="8"/>
        <v>0</v>
      </c>
    </row>
    <row r="30" spans="1:20" outlineLevel="3">
      <c r="A30" s="429">
        <v>15</v>
      </c>
      <c r="B30" s="429" t="s">
        <v>313</v>
      </c>
      <c r="C30" s="429" t="s">
        <v>324</v>
      </c>
      <c r="D30" s="430">
        <v>16381</v>
      </c>
      <c r="E30" s="429">
        <v>0.20399999999999999</v>
      </c>
      <c r="F30" s="432"/>
      <c r="G30" s="433">
        <f t="shared" si="1"/>
        <v>84422.349026548705</v>
      </c>
      <c r="H30" s="434">
        <f t="shared" si="2"/>
        <v>1.0199490025498718E-2</v>
      </c>
      <c r="I30" s="433">
        <f t="shared" si="3"/>
        <v>4084.7954765771356</v>
      </c>
      <c r="J30" s="433">
        <f t="shared" si="4"/>
        <v>1021.1988691442839</v>
      </c>
      <c r="K30" s="433">
        <f t="shared" si="5"/>
        <v>3063.5966074328517</v>
      </c>
      <c r="L30" s="433">
        <f t="shared" si="6"/>
        <v>816</v>
      </c>
      <c r="M30" s="435"/>
      <c r="N30" s="433"/>
      <c r="O30" s="436">
        <f>+VLOOKUP(C30,Pop_ISTAT!$A$10:$J$273,10,FALSE)</f>
        <v>53362</v>
      </c>
      <c r="P30" s="447">
        <f t="shared" si="9"/>
        <v>53362</v>
      </c>
      <c r="Q30" s="435"/>
      <c r="R30" s="429">
        <v>12</v>
      </c>
      <c r="S30" s="350">
        <f t="shared" si="7"/>
        <v>4084.7954765771356</v>
      </c>
      <c r="T30" s="350">
        <f t="shared" si="8"/>
        <v>0</v>
      </c>
    </row>
    <row r="31" spans="1:20" outlineLevel="3">
      <c r="A31" s="429">
        <v>11</v>
      </c>
      <c r="B31" s="429" t="s">
        <v>309</v>
      </c>
      <c r="C31" s="429" t="s">
        <v>321</v>
      </c>
      <c r="D31" s="430">
        <v>16934</v>
      </c>
      <c r="E31" s="429">
        <v>0.21099999999999999</v>
      </c>
      <c r="F31" s="432"/>
      <c r="G31" s="433">
        <f t="shared" si="1"/>
        <v>87319.194336283239</v>
      </c>
      <c r="H31" s="434">
        <f t="shared" si="2"/>
        <v>1.0549472526373676E-2</v>
      </c>
      <c r="I31" s="433">
        <f t="shared" si="3"/>
        <v>4222.6925462644049</v>
      </c>
      <c r="J31" s="433">
        <f t="shared" si="4"/>
        <v>1055.6731365661012</v>
      </c>
      <c r="K31" s="433">
        <f t="shared" si="5"/>
        <v>3167.0194096983037</v>
      </c>
      <c r="L31" s="433">
        <f t="shared" si="6"/>
        <v>844</v>
      </c>
      <c r="M31" s="435"/>
      <c r="N31" s="433"/>
      <c r="O31" s="436">
        <f>+VLOOKUP(C31,Pop_ISTAT!$A$10:$J$273,10,FALSE)</f>
        <v>53288</v>
      </c>
      <c r="P31" s="447">
        <f t="shared" si="9"/>
        <v>53288</v>
      </c>
      <c r="Q31" s="435"/>
      <c r="R31" s="429">
        <v>13</v>
      </c>
      <c r="S31" s="350">
        <f t="shared" si="7"/>
        <v>4222.6925462644049</v>
      </c>
      <c r="T31" s="350">
        <f t="shared" si="8"/>
        <v>0</v>
      </c>
    </row>
    <row r="32" spans="1:20" outlineLevel="3">
      <c r="A32" s="429">
        <v>22</v>
      </c>
      <c r="B32" s="429" t="s">
        <v>306</v>
      </c>
      <c r="C32" s="429" t="s">
        <v>331</v>
      </c>
      <c r="D32" s="430">
        <v>12623</v>
      </c>
      <c r="E32" s="429">
        <v>0.157</v>
      </c>
      <c r="F32" s="432"/>
      <c r="G32" s="433">
        <f t="shared" si="1"/>
        <v>64972.101946902687</v>
      </c>
      <c r="H32" s="434">
        <f t="shared" si="2"/>
        <v>7.8496075196240137E-3</v>
      </c>
      <c r="I32" s="433">
        <f t="shared" si="3"/>
        <v>3147.6938709989122</v>
      </c>
      <c r="J32" s="433">
        <f t="shared" si="4"/>
        <v>786.92346774972805</v>
      </c>
      <c r="K32" s="433">
        <f t="shared" si="5"/>
        <v>2360.7704032491843</v>
      </c>
      <c r="L32" s="433">
        <f t="shared" si="6"/>
        <v>628</v>
      </c>
      <c r="M32" s="435"/>
      <c r="N32" s="433"/>
      <c r="O32" s="436">
        <f>+VLOOKUP(C32,Pop_ISTAT!$A$10:$J$273,10,FALSE)</f>
        <v>52915</v>
      </c>
      <c r="P32" s="447">
        <f t="shared" si="9"/>
        <v>52915</v>
      </c>
      <c r="Q32" s="435"/>
      <c r="R32" s="429">
        <v>14</v>
      </c>
      <c r="S32" s="350">
        <f t="shared" si="7"/>
        <v>3147.6938709989122</v>
      </c>
      <c r="T32" s="350">
        <f t="shared" si="8"/>
        <v>0</v>
      </c>
    </row>
    <row r="33" spans="1:20" outlineLevel="3">
      <c r="A33" s="429">
        <v>14</v>
      </c>
      <c r="B33" s="429" t="s">
        <v>309</v>
      </c>
      <c r="C33" s="429" t="s">
        <v>323</v>
      </c>
      <c r="D33" s="430">
        <v>16427</v>
      </c>
      <c r="E33" s="429">
        <v>0.20499999999999999</v>
      </c>
      <c r="F33" s="432"/>
      <c r="G33" s="433">
        <f t="shared" si="1"/>
        <v>84836.184070796502</v>
      </c>
      <c r="H33" s="434">
        <f t="shared" si="2"/>
        <v>1.0249487525623713E-2</v>
      </c>
      <c r="I33" s="433">
        <f t="shared" si="3"/>
        <v>4096.2661189019354</v>
      </c>
      <c r="J33" s="433">
        <f t="shared" si="4"/>
        <v>1024.0665297254839</v>
      </c>
      <c r="K33" s="433">
        <f t="shared" si="5"/>
        <v>3072.1995891764518</v>
      </c>
      <c r="L33" s="433">
        <f t="shared" si="6"/>
        <v>820</v>
      </c>
      <c r="M33" s="435"/>
      <c r="N33" s="433"/>
      <c r="O33" s="436">
        <f>+VLOOKUP(C33,Pop_ISTAT!$A$10:$J$273,10,FALSE)</f>
        <v>49055</v>
      </c>
      <c r="P33" s="447">
        <f t="shared" si="9"/>
        <v>49055</v>
      </c>
      <c r="Q33" s="448"/>
      <c r="R33" s="429">
        <v>15</v>
      </c>
      <c r="S33" s="350">
        <f t="shared" si="7"/>
        <v>4096.2661189019354</v>
      </c>
      <c r="T33" s="350">
        <f t="shared" si="8"/>
        <v>0</v>
      </c>
    </row>
    <row r="34" spans="1:20" outlineLevel="3">
      <c r="A34" s="429">
        <v>12</v>
      </c>
      <c r="B34" s="429" t="s">
        <v>306</v>
      </c>
      <c r="C34" s="429" t="s">
        <v>322</v>
      </c>
      <c r="D34" s="430">
        <v>16762</v>
      </c>
      <c r="E34" s="429">
        <v>0.20899999999999999</v>
      </c>
      <c r="F34" s="432"/>
      <c r="G34" s="433">
        <f t="shared" si="1"/>
        <v>86491.524247787645</v>
      </c>
      <c r="H34" s="434">
        <f t="shared" si="2"/>
        <v>1.0449477526123687E-2</v>
      </c>
      <c r="I34" s="433">
        <f t="shared" si="3"/>
        <v>4179.8023184412395</v>
      </c>
      <c r="J34" s="433">
        <f t="shared" si="4"/>
        <v>1044.9505796103099</v>
      </c>
      <c r="K34" s="433">
        <f t="shared" si="5"/>
        <v>3134.8517388309297</v>
      </c>
      <c r="L34" s="433">
        <f t="shared" si="6"/>
        <v>836</v>
      </c>
      <c r="M34" s="435"/>
      <c r="N34" s="433"/>
      <c r="O34" s="436">
        <f>+VLOOKUP(C34,Pop_ISTAT!$A$10:$J$273,10,FALSE)</f>
        <v>47754</v>
      </c>
      <c r="P34" s="447">
        <f t="shared" si="9"/>
        <v>47754</v>
      </c>
      <c r="Q34" s="448"/>
      <c r="R34" s="429">
        <v>16</v>
      </c>
      <c r="S34" s="350">
        <f t="shared" si="7"/>
        <v>4179.8023184412395</v>
      </c>
      <c r="T34" s="350">
        <f t="shared" si="8"/>
        <v>0</v>
      </c>
    </row>
    <row r="35" spans="1:20" outlineLevel="3">
      <c r="A35" s="429">
        <v>10</v>
      </c>
      <c r="B35" s="429" t="s">
        <v>306</v>
      </c>
      <c r="C35" s="429" t="s">
        <v>320</v>
      </c>
      <c r="D35" s="430">
        <v>17347</v>
      </c>
      <c r="E35" s="429">
        <v>0.216</v>
      </c>
      <c r="F35" s="432"/>
      <c r="G35" s="433">
        <f t="shared" si="1"/>
        <v>89388.369557522165</v>
      </c>
      <c r="H35" s="434">
        <f t="shared" si="2"/>
        <v>1.0799460026998643E-2</v>
      </c>
      <c r="I35" s="433">
        <f t="shared" si="3"/>
        <v>4325.6789653979349</v>
      </c>
      <c r="J35" s="433">
        <f t="shared" si="4"/>
        <v>1081.4197413494837</v>
      </c>
      <c r="K35" s="433">
        <f t="shared" si="5"/>
        <v>3244.259224048451</v>
      </c>
      <c r="L35" s="433">
        <f t="shared" si="6"/>
        <v>864</v>
      </c>
      <c r="M35" s="435"/>
      <c r="N35" s="433"/>
      <c r="O35" s="436">
        <f>+VLOOKUP(C35,Pop_ISTAT!$A$10:$J$273,10,FALSE)</f>
        <v>46882</v>
      </c>
      <c r="P35" s="447">
        <f t="shared" si="9"/>
        <v>46882</v>
      </c>
      <c r="Q35" s="448"/>
      <c r="R35" s="429">
        <v>17</v>
      </c>
      <c r="S35" s="350">
        <f t="shared" si="7"/>
        <v>4325.6789653979349</v>
      </c>
      <c r="T35" s="350">
        <f t="shared" si="8"/>
        <v>0</v>
      </c>
    </row>
    <row r="36" spans="1:20" outlineLevel="3">
      <c r="A36" s="429">
        <v>24</v>
      </c>
      <c r="B36" s="429" t="s">
        <v>307</v>
      </c>
      <c r="C36" s="429" t="s">
        <v>333</v>
      </c>
      <c r="D36" s="430">
        <v>12227</v>
      </c>
      <c r="E36" s="429">
        <v>0.152</v>
      </c>
      <c r="F36" s="432"/>
      <c r="G36" s="433">
        <f t="shared" si="1"/>
        <v>62902.926725663747</v>
      </c>
      <c r="H36" s="434">
        <f t="shared" si="2"/>
        <v>7.599620018999045E-3</v>
      </c>
      <c r="I36" s="433">
        <f t="shared" si="3"/>
        <v>3048.9466022897645</v>
      </c>
      <c r="J36" s="433">
        <f t="shared" si="4"/>
        <v>762.23665057244114</v>
      </c>
      <c r="K36" s="433">
        <f t="shared" si="5"/>
        <v>2286.7099517173233</v>
      </c>
      <c r="L36" s="433">
        <f t="shared" si="6"/>
        <v>608</v>
      </c>
      <c r="M36" s="435"/>
      <c r="N36" s="433"/>
      <c r="O36" s="436">
        <f>+VLOOKUP(C36,Pop_ISTAT!$A$10:$J$273,10,FALSE)</f>
        <v>46701</v>
      </c>
      <c r="P36" s="447">
        <f t="shared" si="9"/>
        <v>46701</v>
      </c>
      <c r="Q36" s="448"/>
      <c r="R36" s="429">
        <v>18</v>
      </c>
      <c r="S36" s="350">
        <f t="shared" si="7"/>
        <v>3048.9466022897645</v>
      </c>
      <c r="T36" s="350">
        <f t="shared" si="8"/>
        <v>0</v>
      </c>
    </row>
    <row r="37" spans="1:20" outlineLevel="3">
      <c r="A37" s="429">
        <v>31</v>
      </c>
      <c r="B37" s="429" t="s">
        <v>306</v>
      </c>
      <c r="C37" s="429" t="s">
        <v>340</v>
      </c>
      <c r="D37" s="430">
        <v>10597</v>
      </c>
      <c r="E37" s="429">
        <v>0.13200000000000001</v>
      </c>
      <c r="F37" s="432"/>
      <c r="G37" s="433">
        <f t="shared" si="1"/>
        <v>54626.225840708001</v>
      </c>
      <c r="H37" s="434">
        <f t="shared" si="2"/>
        <v>6.599670016499172E-3</v>
      </c>
      <c r="I37" s="433">
        <f t="shared" si="3"/>
        <v>2642.4868851283745</v>
      </c>
      <c r="J37" s="433">
        <f t="shared" si="4"/>
        <v>660.62172128209363</v>
      </c>
      <c r="K37" s="433">
        <f t="shared" si="5"/>
        <v>1981.8651638462809</v>
      </c>
      <c r="L37" s="433">
        <f t="shared" si="6"/>
        <v>528</v>
      </c>
      <c r="M37" s="435"/>
      <c r="N37" s="433"/>
      <c r="O37" s="436">
        <f>+VLOOKUP(C37,Pop_ISTAT!$A$10:$J$273,10,FALSE)</f>
        <v>42094</v>
      </c>
      <c r="P37" s="447">
        <f t="shared" si="9"/>
        <v>42094</v>
      </c>
      <c r="Q37" s="448"/>
      <c r="R37" s="429">
        <v>19</v>
      </c>
      <c r="S37" s="350">
        <f t="shared" si="7"/>
        <v>2642.4868851283745</v>
      </c>
      <c r="T37" s="350">
        <f t="shared" si="8"/>
        <v>0</v>
      </c>
    </row>
    <row r="38" spans="1:20" outlineLevel="3">
      <c r="A38" s="429">
        <v>6</v>
      </c>
      <c r="B38" s="429" t="s">
        <v>315</v>
      </c>
      <c r="C38" s="429" t="s">
        <v>316</v>
      </c>
      <c r="D38" s="430">
        <v>26917</v>
      </c>
      <c r="E38" s="429">
        <v>0.33600000000000002</v>
      </c>
      <c r="F38" s="432"/>
      <c r="G38" s="433">
        <f t="shared" si="1"/>
        <v>139048.57486725671</v>
      </c>
      <c r="H38" s="434">
        <f t="shared" si="2"/>
        <v>1.6799160041997892E-2</v>
      </c>
      <c r="I38" s="433">
        <f t="shared" si="3"/>
        <v>6712.0712925356665</v>
      </c>
      <c r="J38" s="433">
        <f t="shared" si="4"/>
        <v>1678.0178231339166</v>
      </c>
      <c r="K38" s="433">
        <f t="shared" si="5"/>
        <v>5034.0534694017497</v>
      </c>
      <c r="L38" s="433">
        <f t="shared" si="6"/>
        <v>1344</v>
      </c>
      <c r="M38" s="435"/>
      <c r="N38" s="433"/>
      <c r="O38" s="436">
        <f>+VLOOKUP(C38,Pop_ISTAT!$A$10:$J$273,10,FALSE)</f>
        <v>38813</v>
      </c>
      <c r="P38" s="447">
        <f t="shared" si="9"/>
        <v>38813</v>
      </c>
      <c r="Q38" s="448"/>
      <c r="R38" s="429">
        <v>20</v>
      </c>
      <c r="S38" s="350">
        <f t="shared" si="7"/>
        <v>6712.0712925356665</v>
      </c>
      <c r="T38" s="350">
        <f t="shared" si="8"/>
        <v>0</v>
      </c>
    </row>
    <row r="39" spans="1:20" outlineLevel="3">
      <c r="A39" s="429">
        <v>44</v>
      </c>
      <c r="B39" s="429" t="s">
        <v>306</v>
      </c>
      <c r="C39" s="429" t="s">
        <v>353</v>
      </c>
      <c r="D39" s="430">
        <v>9344</v>
      </c>
      <c r="E39" s="429">
        <v>0.11700000000000001</v>
      </c>
      <c r="F39" s="432"/>
      <c r="G39" s="433">
        <f t="shared" si="1"/>
        <v>48418.70017699118</v>
      </c>
      <c r="H39" s="434">
        <f t="shared" si="2"/>
        <v>5.8497075146242659E-3</v>
      </c>
      <c r="I39" s="433">
        <f t="shared" si="3"/>
        <v>2330.0365626724101</v>
      </c>
      <c r="J39" s="433">
        <f t="shared" si="4"/>
        <v>582.50914066810253</v>
      </c>
      <c r="K39" s="433">
        <f t="shared" si="5"/>
        <v>1747.5274220043075</v>
      </c>
      <c r="L39" s="433">
        <f t="shared" si="6"/>
        <v>468</v>
      </c>
      <c r="M39" s="435"/>
      <c r="N39" s="433"/>
      <c r="O39" s="436">
        <f>+VLOOKUP(C39,Pop_ISTAT!$A$10:$J$273,10,FALSE)</f>
        <v>35972</v>
      </c>
      <c r="P39" s="447">
        <f t="shared" si="9"/>
        <v>35972</v>
      </c>
      <c r="Q39" s="448"/>
      <c r="R39" s="429">
        <v>21</v>
      </c>
      <c r="S39" s="350">
        <f t="shared" si="7"/>
        <v>2330.0365626724101</v>
      </c>
      <c r="T39" s="350">
        <f t="shared" si="8"/>
        <v>0</v>
      </c>
    </row>
    <row r="40" spans="1:20" outlineLevel="3">
      <c r="A40" s="429">
        <v>36</v>
      </c>
      <c r="B40" s="429" t="s">
        <v>315</v>
      </c>
      <c r="C40" s="429" t="s">
        <v>345</v>
      </c>
      <c r="D40" s="430">
        <v>10074</v>
      </c>
      <c r="E40" s="429">
        <v>0.126</v>
      </c>
      <c r="F40" s="432"/>
      <c r="G40" s="433">
        <f t="shared" si="1"/>
        <v>52143.215575221264</v>
      </c>
      <c r="H40" s="434">
        <f t="shared" si="2"/>
        <v>6.2996850157492085E-3</v>
      </c>
      <c r="I40" s="433">
        <f t="shared" si="3"/>
        <v>2512.0706691311925</v>
      </c>
      <c r="J40" s="433">
        <f t="shared" si="4"/>
        <v>628.01766728279813</v>
      </c>
      <c r="K40" s="433">
        <f t="shared" si="5"/>
        <v>1884.0530018483944</v>
      </c>
      <c r="L40" s="433">
        <f t="shared" si="6"/>
        <v>504</v>
      </c>
      <c r="M40" s="435"/>
      <c r="N40" s="433"/>
      <c r="O40" s="436">
        <f>+VLOOKUP(C40,Pop_ISTAT!$A$10:$J$273,10,FALSE)</f>
        <v>34512</v>
      </c>
      <c r="P40" s="447">
        <f t="shared" si="9"/>
        <v>34512</v>
      </c>
      <c r="Q40" s="448"/>
      <c r="R40" s="429">
        <v>22</v>
      </c>
      <c r="S40" s="350">
        <f t="shared" si="7"/>
        <v>2512.0706691311925</v>
      </c>
      <c r="T40" s="350">
        <f t="shared" si="8"/>
        <v>0</v>
      </c>
    </row>
    <row r="41" spans="1:20" outlineLevel="3">
      <c r="A41" s="429">
        <v>26</v>
      </c>
      <c r="B41" s="429" t="s">
        <v>307</v>
      </c>
      <c r="C41" s="429" t="s">
        <v>335</v>
      </c>
      <c r="D41" s="430">
        <v>11359</v>
      </c>
      <c r="E41" s="429">
        <v>0.14199999999999999</v>
      </c>
      <c r="F41" s="432"/>
      <c r="G41" s="433">
        <f t="shared" si="1"/>
        <v>58764.576283185866</v>
      </c>
      <c r="H41" s="434">
        <f t="shared" si="2"/>
        <v>7.0996450177491077E-3</v>
      </c>
      <c r="I41" s="433">
        <f t="shared" si="3"/>
        <v>2832.5005688565825</v>
      </c>
      <c r="J41" s="433">
        <f t="shared" si="4"/>
        <v>708.12514221414563</v>
      </c>
      <c r="K41" s="433">
        <f t="shared" si="5"/>
        <v>2124.3754266424367</v>
      </c>
      <c r="L41" s="433">
        <f t="shared" si="6"/>
        <v>567.99999999999989</v>
      </c>
      <c r="M41" s="435"/>
      <c r="N41" s="433"/>
      <c r="O41" s="436">
        <f>+VLOOKUP(C41,Pop_ISTAT!$A$10:$J$273,10,FALSE)</f>
        <v>31812</v>
      </c>
      <c r="P41" s="447">
        <f t="shared" si="9"/>
        <v>31812</v>
      </c>
      <c r="Q41" s="448"/>
      <c r="R41" s="429">
        <v>23</v>
      </c>
      <c r="S41" s="350">
        <f t="shared" si="7"/>
        <v>2832.5005688565825</v>
      </c>
      <c r="T41" s="350">
        <f t="shared" si="8"/>
        <v>0</v>
      </c>
    </row>
    <row r="42" spans="1:20" outlineLevel="3">
      <c r="A42" s="429">
        <v>13</v>
      </c>
      <c r="B42" s="429" t="s">
        <v>311</v>
      </c>
      <c r="C42" s="429" t="s">
        <v>898</v>
      </c>
      <c r="D42" s="430">
        <v>16514</v>
      </c>
      <c r="E42" s="429">
        <v>0.20599999999999999</v>
      </c>
      <c r="F42" s="432"/>
      <c r="G42" s="433">
        <f t="shared" si="1"/>
        <v>85250.019115044299</v>
      </c>
      <c r="H42" s="434">
        <f t="shared" si="2"/>
        <v>1.0299485025748708E-2</v>
      </c>
      <c r="I42" s="433">
        <f t="shared" si="3"/>
        <v>4117.9605946031879</v>
      </c>
      <c r="J42" s="433">
        <f t="shared" si="4"/>
        <v>1029.490148650797</v>
      </c>
      <c r="K42" s="433">
        <f t="shared" si="5"/>
        <v>3088.4704459523909</v>
      </c>
      <c r="L42" s="433">
        <f t="shared" si="6"/>
        <v>824</v>
      </c>
      <c r="M42" s="435"/>
      <c r="N42" s="433"/>
      <c r="O42" s="436">
        <f>+VLOOKUP(C42,Pop_ISTAT!$A$10:$J$273,10,FALSE)</f>
        <v>30667</v>
      </c>
      <c r="P42" s="447">
        <f t="shared" si="9"/>
        <v>30667</v>
      </c>
      <c r="Q42" s="448"/>
      <c r="R42" s="429">
        <v>24</v>
      </c>
      <c r="S42" s="350">
        <f t="shared" si="7"/>
        <v>4117.9605946031879</v>
      </c>
      <c r="T42" s="350">
        <f t="shared" si="8"/>
        <v>0</v>
      </c>
    </row>
    <row r="43" spans="1:20" outlineLevel="3">
      <c r="A43" s="439">
        <v>34</v>
      </c>
      <c r="B43" s="439" t="s">
        <v>309</v>
      </c>
      <c r="C43" s="439" t="s">
        <v>343</v>
      </c>
      <c r="D43" s="440">
        <v>10174</v>
      </c>
      <c r="E43" s="439">
        <v>0.127</v>
      </c>
      <c r="F43" s="441" t="s">
        <v>619</v>
      </c>
      <c r="G43" s="442">
        <f t="shared" si="1"/>
        <v>52557.050619469053</v>
      </c>
      <c r="H43" s="443">
        <f t="shared" si="2"/>
        <v>6.3496825158742025E-3</v>
      </c>
      <c r="I43" s="442">
        <f t="shared" si="3"/>
        <v>2537.006848098149</v>
      </c>
      <c r="J43" s="442">
        <f t="shared" si="4"/>
        <v>634.25171202453726</v>
      </c>
      <c r="K43" s="442">
        <f t="shared" si="5"/>
        <v>1902.7551360736118</v>
      </c>
      <c r="L43" s="442">
        <f t="shared" si="6"/>
        <v>508</v>
      </c>
      <c r="M43" s="444"/>
      <c r="N43" s="442"/>
      <c r="O43" s="445">
        <f>+VLOOKUP(C43,Pop_ISTAT!$A$10:$J$273,10,FALSE)</f>
        <v>30531</v>
      </c>
      <c r="P43" s="444"/>
      <c r="Q43" s="446">
        <f>+O43</f>
        <v>30531</v>
      </c>
      <c r="R43" s="439">
        <v>25</v>
      </c>
      <c r="S43" s="380">
        <f t="shared" si="7"/>
        <v>0</v>
      </c>
      <c r="T43" s="380">
        <f t="shared" si="8"/>
        <v>2537.006848098149</v>
      </c>
    </row>
    <row r="44" spans="1:20" outlineLevel="3">
      <c r="A44" s="429">
        <v>21</v>
      </c>
      <c r="B44" s="429" t="s">
        <v>307</v>
      </c>
      <c r="C44" s="429" t="s">
        <v>330</v>
      </c>
      <c r="D44" s="430">
        <v>13425</v>
      </c>
      <c r="E44" s="429">
        <v>0.16700000000000001</v>
      </c>
      <c r="F44" s="432"/>
      <c r="G44" s="433">
        <f t="shared" si="1"/>
        <v>69110.452389380574</v>
      </c>
      <c r="H44" s="434">
        <f t="shared" si="2"/>
        <v>8.3495825208739528E-3</v>
      </c>
      <c r="I44" s="433">
        <f t="shared" si="3"/>
        <v>3347.682026313903</v>
      </c>
      <c r="J44" s="433">
        <f t="shared" si="4"/>
        <v>836.92050657847574</v>
      </c>
      <c r="K44" s="433">
        <f t="shared" si="5"/>
        <v>2510.7615197354271</v>
      </c>
      <c r="L44" s="433">
        <f t="shared" si="6"/>
        <v>668</v>
      </c>
      <c r="M44" s="435"/>
      <c r="N44" s="433"/>
      <c r="O44" s="436">
        <f>+VLOOKUP(C44,Pop_ISTAT!$A$10:$J$273,10,FALSE)</f>
        <v>30172</v>
      </c>
      <c r="P44" s="447">
        <f t="shared" si="9"/>
        <v>30172</v>
      </c>
      <c r="Q44" s="448"/>
      <c r="R44" s="429">
        <v>26</v>
      </c>
      <c r="S44" s="350">
        <f t="shared" si="7"/>
        <v>3347.682026313903</v>
      </c>
      <c r="T44" s="350">
        <f t="shared" si="8"/>
        <v>0</v>
      </c>
    </row>
    <row r="45" spans="1:20" outlineLevel="3">
      <c r="A45" s="429">
        <v>19</v>
      </c>
      <c r="B45" s="429" t="s">
        <v>315</v>
      </c>
      <c r="C45" s="429" t="s">
        <v>328</v>
      </c>
      <c r="D45" s="430">
        <v>13961</v>
      </c>
      <c r="E45" s="429">
        <v>0.17399999999999999</v>
      </c>
      <c r="F45" s="432"/>
      <c r="G45" s="433">
        <f t="shared" si="1"/>
        <v>72007.297699115079</v>
      </c>
      <c r="H45" s="434">
        <f t="shared" si="2"/>
        <v>8.6995650217489076E-3</v>
      </c>
      <c r="I45" s="433">
        <f t="shared" si="3"/>
        <v>3481.3399455767894</v>
      </c>
      <c r="J45" s="433">
        <f t="shared" si="4"/>
        <v>870.33498639419736</v>
      </c>
      <c r="K45" s="433">
        <f t="shared" si="5"/>
        <v>2611.0049591825918</v>
      </c>
      <c r="L45" s="433">
        <f t="shared" si="6"/>
        <v>696</v>
      </c>
      <c r="M45" s="435"/>
      <c r="N45" s="433"/>
      <c r="O45" s="436">
        <f>+VLOOKUP(C45,Pop_ISTAT!$A$10:$J$273,10,FALSE)</f>
        <v>29872</v>
      </c>
      <c r="P45" s="447">
        <f t="shared" si="9"/>
        <v>29872</v>
      </c>
      <c r="Q45" s="448"/>
      <c r="R45" s="429">
        <v>27</v>
      </c>
      <c r="S45" s="350">
        <f t="shared" si="7"/>
        <v>3481.3399455767894</v>
      </c>
      <c r="T45" s="350">
        <f t="shared" si="8"/>
        <v>0</v>
      </c>
    </row>
    <row r="46" spans="1:20" outlineLevel="3">
      <c r="A46" s="429">
        <v>49</v>
      </c>
      <c r="B46" s="429" t="s">
        <v>307</v>
      </c>
      <c r="C46" s="429" t="s">
        <v>358</v>
      </c>
      <c r="D46" s="430">
        <v>8620</v>
      </c>
      <c r="E46" s="429">
        <v>0.107</v>
      </c>
      <c r="F46" s="432"/>
      <c r="G46" s="433">
        <f t="shared" si="1"/>
        <v>44280.3497345133</v>
      </c>
      <c r="H46" s="434">
        <f t="shared" si="2"/>
        <v>5.3497325133743286E-3</v>
      </c>
      <c r="I46" s="433">
        <f t="shared" si="3"/>
        <v>2149.4986269516457</v>
      </c>
      <c r="J46" s="433">
        <f t="shared" si="4"/>
        <v>537.37465673791144</v>
      </c>
      <c r="K46" s="433">
        <f t="shared" si="5"/>
        <v>1612.1239702137343</v>
      </c>
      <c r="L46" s="433">
        <f t="shared" si="6"/>
        <v>428</v>
      </c>
      <c r="M46" s="435"/>
      <c r="N46" s="433"/>
      <c r="O46" s="436">
        <f>+VLOOKUP(C46,Pop_ISTAT!$A$10:$J$273,10,FALSE)</f>
        <v>29623</v>
      </c>
      <c r="P46" s="447">
        <f t="shared" si="9"/>
        <v>29623</v>
      </c>
      <c r="Q46" s="448"/>
      <c r="R46" s="429">
        <v>28</v>
      </c>
      <c r="S46" s="350">
        <f t="shared" si="7"/>
        <v>2149.4986269516457</v>
      </c>
      <c r="T46" s="350">
        <f t="shared" si="8"/>
        <v>0</v>
      </c>
    </row>
    <row r="47" spans="1:20" outlineLevel="3">
      <c r="A47" s="429">
        <v>42</v>
      </c>
      <c r="B47" s="429" t="s">
        <v>313</v>
      </c>
      <c r="C47" s="429" t="s">
        <v>351</v>
      </c>
      <c r="D47" s="430">
        <v>9649</v>
      </c>
      <c r="E47" s="429">
        <v>0.12</v>
      </c>
      <c r="F47" s="432"/>
      <c r="G47" s="433">
        <f t="shared" si="1"/>
        <v>49660.205309734542</v>
      </c>
      <c r="H47" s="434">
        <f t="shared" si="2"/>
        <v>5.9997000149992468E-3</v>
      </c>
      <c r="I47" s="433">
        <f t="shared" si="3"/>
        <v>2406.0919085216274</v>
      </c>
      <c r="J47" s="433">
        <f t="shared" si="4"/>
        <v>601.52297713040684</v>
      </c>
      <c r="K47" s="433">
        <f t="shared" si="5"/>
        <v>1804.5689313912205</v>
      </c>
      <c r="L47" s="433">
        <f t="shared" si="6"/>
        <v>480</v>
      </c>
      <c r="M47" s="435"/>
      <c r="N47" s="433"/>
      <c r="O47" s="436">
        <f>+VLOOKUP(C47,Pop_ISTAT!$A$10:$J$273,10,FALSE)</f>
        <v>27466</v>
      </c>
      <c r="P47" s="447">
        <f t="shared" si="9"/>
        <v>27466</v>
      </c>
      <c r="Q47" s="448"/>
      <c r="R47" s="429">
        <v>29</v>
      </c>
      <c r="S47" s="350">
        <f t="shared" si="7"/>
        <v>2406.0919085216274</v>
      </c>
      <c r="T47" s="350">
        <f t="shared" si="8"/>
        <v>0</v>
      </c>
    </row>
    <row r="48" spans="1:20" outlineLevel="3">
      <c r="A48" s="429">
        <v>63</v>
      </c>
      <c r="B48" s="429" t="s">
        <v>306</v>
      </c>
      <c r="C48" s="429" t="s">
        <v>373</v>
      </c>
      <c r="D48" s="430">
        <v>7219</v>
      </c>
      <c r="E48" s="429">
        <v>0.09</v>
      </c>
      <c r="F48" s="432"/>
      <c r="G48" s="433">
        <f t="shared" si="1"/>
        <v>37245.153982300908</v>
      </c>
      <c r="H48" s="434">
        <f t="shared" si="2"/>
        <v>4.4997750112494355E-3</v>
      </c>
      <c r="I48" s="433">
        <f t="shared" si="3"/>
        <v>1800.1427596245858</v>
      </c>
      <c r="J48" s="433">
        <f t="shared" si="4"/>
        <v>450.03568990614644</v>
      </c>
      <c r="K48" s="433">
        <f t="shared" si="5"/>
        <v>1350.1070697184393</v>
      </c>
      <c r="L48" s="433">
        <f t="shared" si="6"/>
        <v>360</v>
      </c>
      <c r="M48" s="435"/>
      <c r="N48" s="433"/>
      <c r="O48" s="436">
        <f>+VLOOKUP(C48,Pop_ISTAT!$A$10:$J$273,10,FALSE)</f>
        <v>26443</v>
      </c>
      <c r="P48" s="435"/>
      <c r="Q48" s="449">
        <f t="shared" ref="Q48:Q99" si="10">+O48</f>
        <v>26443</v>
      </c>
      <c r="R48" s="429">
        <v>30</v>
      </c>
      <c r="S48" s="350">
        <f t="shared" si="7"/>
        <v>0</v>
      </c>
      <c r="T48" s="350">
        <f t="shared" si="8"/>
        <v>1800.1427596245858</v>
      </c>
    </row>
    <row r="49" spans="1:20" outlineLevel="3">
      <c r="A49" s="429">
        <v>45</v>
      </c>
      <c r="B49" s="429" t="s">
        <v>309</v>
      </c>
      <c r="C49" s="429" t="s">
        <v>354</v>
      </c>
      <c r="D49" s="430">
        <v>9092</v>
      </c>
      <c r="E49" s="429">
        <v>0.113</v>
      </c>
      <c r="F49" s="432"/>
      <c r="G49" s="433">
        <f t="shared" si="1"/>
        <v>46763.360000000022</v>
      </c>
      <c r="H49" s="434">
        <f t="shared" si="2"/>
        <v>5.6497175141242903E-3</v>
      </c>
      <c r="I49" s="433">
        <f t="shared" si="3"/>
        <v>2267.1973916756801</v>
      </c>
      <c r="J49" s="433">
        <f t="shared" si="4"/>
        <v>566.79934791892003</v>
      </c>
      <c r="K49" s="433">
        <f t="shared" si="5"/>
        <v>1700.3980437567602</v>
      </c>
      <c r="L49" s="433">
        <f t="shared" si="6"/>
        <v>452</v>
      </c>
      <c r="M49" s="435"/>
      <c r="N49" s="433"/>
      <c r="O49" s="436">
        <f>+VLOOKUP(C49,Pop_ISTAT!$A$10:$J$273,10,FALSE)</f>
        <v>26271</v>
      </c>
      <c r="P49" s="435"/>
      <c r="Q49" s="449">
        <f t="shared" si="10"/>
        <v>26271</v>
      </c>
      <c r="R49" s="429">
        <v>31</v>
      </c>
      <c r="S49" s="350">
        <f t="shared" si="7"/>
        <v>0</v>
      </c>
      <c r="T49" s="350">
        <f t="shared" si="8"/>
        <v>2267.1973916756801</v>
      </c>
    </row>
    <row r="50" spans="1:20" outlineLevel="3">
      <c r="A50" s="429">
        <v>117</v>
      </c>
      <c r="B50" s="429" t="s">
        <v>306</v>
      </c>
      <c r="C50" s="429" t="s">
        <v>427</v>
      </c>
      <c r="D50" s="430">
        <v>4762</v>
      </c>
      <c r="E50" s="429">
        <v>5.8999999999999997E-2</v>
      </c>
      <c r="F50" s="432"/>
      <c r="G50" s="433">
        <f t="shared" si="1"/>
        <v>24416.267610619481</v>
      </c>
      <c r="H50" s="434">
        <f t="shared" si="2"/>
        <v>2.9498525073746295E-3</v>
      </c>
      <c r="I50" s="433">
        <f t="shared" si="3"/>
        <v>1187.4608424064659</v>
      </c>
      <c r="J50" s="433">
        <f t="shared" si="4"/>
        <v>296.86521060161647</v>
      </c>
      <c r="K50" s="433">
        <f t="shared" si="5"/>
        <v>890.5956318048494</v>
      </c>
      <c r="L50" s="433">
        <f t="shared" si="6"/>
        <v>236</v>
      </c>
      <c r="M50" s="435"/>
      <c r="N50" s="433"/>
      <c r="O50" s="436">
        <f>+VLOOKUP(C50,Pop_ISTAT!$A$10:$J$273,10,FALSE)</f>
        <v>25928</v>
      </c>
      <c r="P50" s="435"/>
      <c r="Q50" s="449">
        <f t="shared" si="10"/>
        <v>25928</v>
      </c>
      <c r="R50" s="429">
        <v>32</v>
      </c>
      <c r="S50" s="350">
        <f t="shared" si="7"/>
        <v>0</v>
      </c>
      <c r="T50" s="350">
        <f t="shared" si="8"/>
        <v>1187.4608424064659</v>
      </c>
    </row>
    <row r="51" spans="1:20" outlineLevel="3">
      <c r="A51" s="450">
        <v>46</v>
      </c>
      <c r="B51" s="450" t="s">
        <v>315</v>
      </c>
      <c r="C51" s="450" t="s">
        <v>355</v>
      </c>
      <c r="D51" s="451">
        <v>8979</v>
      </c>
      <c r="E51" s="450">
        <v>0.112</v>
      </c>
      <c r="F51" s="452"/>
      <c r="G51" s="453">
        <f t="shared" si="1"/>
        <v>46349.52495575224</v>
      </c>
      <c r="H51" s="454">
        <f t="shared" si="2"/>
        <v>5.5997200139992973E-3</v>
      </c>
      <c r="I51" s="453">
        <f t="shared" si="3"/>
        <v>2239.0195094430192</v>
      </c>
      <c r="J51" s="453">
        <f t="shared" si="4"/>
        <v>559.75487736075479</v>
      </c>
      <c r="K51" s="453">
        <f t="shared" si="5"/>
        <v>1679.2646320822644</v>
      </c>
      <c r="L51" s="453">
        <f t="shared" si="6"/>
        <v>448</v>
      </c>
      <c r="M51" s="455" t="s">
        <v>623</v>
      </c>
      <c r="N51" s="453">
        <v>10000</v>
      </c>
      <c r="O51" s="456">
        <f>+VLOOKUP(C51,Pop_ISTAT!$A$10:$J$273,10,FALSE)</f>
        <v>25908</v>
      </c>
      <c r="P51" s="457">
        <f>+O51</f>
        <v>25908</v>
      </c>
      <c r="Q51" s="455"/>
      <c r="R51" s="450">
        <v>33</v>
      </c>
      <c r="S51" s="389">
        <f t="shared" si="7"/>
        <v>2239.0195094430192</v>
      </c>
      <c r="T51" s="389">
        <f t="shared" si="8"/>
        <v>0</v>
      </c>
    </row>
    <row r="52" spans="1:20" outlineLevel="3">
      <c r="A52" s="429">
        <v>32</v>
      </c>
      <c r="B52" s="429" t="s">
        <v>306</v>
      </c>
      <c r="C52" s="429" t="s">
        <v>341</v>
      </c>
      <c r="D52" s="430">
        <v>10414</v>
      </c>
      <c r="E52" s="429">
        <v>0.13</v>
      </c>
      <c r="F52" s="432"/>
      <c r="G52" s="433">
        <f t="shared" si="1"/>
        <v>53798.555752212422</v>
      </c>
      <c r="H52" s="434">
        <f t="shared" si="2"/>
        <v>6.4996750162491842E-3</v>
      </c>
      <c r="I52" s="433">
        <f t="shared" si="3"/>
        <v>2596.8536776188444</v>
      </c>
      <c r="J52" s="433">
        <f t="shared" si="4"/>
        <v>649.21341940471109</v>
      </c>
      <c r="K52" s="433">
        <f t="shared" si="5"/>
        <v>1947.6402582141332</v>
      </c>
      <c r="L52" s="433">
        <f t="shared" si="6"/>
        <v>520</v>
      </c>
      <c r="M52" s="435"/>
      <c r="N52" s="433"/>
      <c r="O52" s="436">
        <f>+VLOOKUP(C52,Pop_ISTAT!$A$10:$J$273,10,FALSE)</f>
        <v>25903</v>
      </c>
      <c r="P52" s="435"/>
      <c r="Q52" s="449">
        <f t="shared" si="10"/>
        <v>25903</v>
      </c>
      <c r="R52" s="429">
        <v>34</v>
      </c>
      <c r="S52" s="350">
        <f t="shared" si="7"/>
        <v>0</v>
      </c>
      <c r="T52" s="350">
        <f t="shared" si="8"/>
        <v>2596.8536776188444</v>
      </c>
    </row>
    <row r="53" spans="1:20" outlineLevel="3">
      <c r="A53" s="429">
        <v>75</v>
      </c>
      <c r="B53" s="429" t="s">
        <v>306</v>
      </c>
      <c r="C53" s="429" t="s">
        <v>385</v>
      </c>
      <c r="D53" s="430">
        <v>6489</v>
      </c>
      <c r="E53" s="429">
        <v>8.1000000000000003E-2</v>
      </c>
      <c r="F53" s="432"/>
      <c r="G53" s="433">
        <f t="shared" si="1"/>
        <v>33520.638584070817</v>
      </c>
      <c r="H53" s="434">
        <f t="shared" si="2"/>
        <v>4.0497975101244921E-3</v>
      </c>
      <c r="I53" s="433">
        <f t="shared" si="3"/>
        <v>1618.1086531658038</v>
      </c>
      <c r="J53" s="433">
        <f t="shared" si="4"/>
        <v>404.52716329145096</v>
      </c>
      <c r="K53" s="433">
        <f t="shared" si="5"/>
        <v>1213.5814898743529</v>
      </c>
      <c r="L53" s="433">
        <f t="shared" si="6"/>
        <v>324</v>
      </c>
      <c r="M53" s="435"/>
      <c r="N53" s="433"/>
      <c r="O53" s="436">
        <f>+VLOOKUP(C53,Pop_ISTAT!$A$10:$J$273,10,FALSE)</f>
        <v>25850</v>
      </c>
      <c r="P53" s="435"/>
      <c r="Q53" s="449">
        <f t="shared" si="10"/>
        <v>25850</v>
      </c>
      <c r="R53" s="429">
        <v>35</v>
      </c>
      <c r="S53" s="350">
        <f t="shared" si="7"/>
        <v>0</v>
      </c>
      <c r="T53" s="350">
        <f t="shared" si="8"/>
        <v>1618.1086531658038</v>
      </c>
    </row>
    <row r="54" spans="1:20" outlineLevel="3">
      <c r="A54" s="429">
        <v>130</v>
      </c>
      <c r="B54" s="429" t="s">
        <v>306</v>
      </c>
      <c r="C54" s="429" t="s">
        <v>440</v>
      </c>
      <c r="D54" s="430">
        <v>4341</v>
      </c>
      <c r="E54" s="429">
        <v>5.3999999999999999E-2</v>
      </c>
      <c r="F54" s="432"/>
      <c r="G54" s="433">
        <f t="shared" si="1"/>
        <v>22347.092389380541</v>
      </c>
      <c r="H54" s="434">
        <f t="shared" si="2"/>
        <v>2.6998650067496608E-3</v>
      </c>
      <c r="I54" s="433">
        <f t="shared" si="3"/>
        <v>1082.4795289555793</v>
      </c>
      <c r="J54" s="433">
        <f t="shared" si="4"/>
        <v>270.61988223889483</v>
      </c>
      <c r="K54" s="433">
        <f t="shared" si="5"/>
        <v>811.85964671668444</v>
      </c>
      <c r="L54" s="433">
        <f t="shared" si="6"/>
        <v>216</v>
      </c>
      <c r="M54" s="435"/>
      <c r="N54" s="433"/>
      <c r="O54" s="436">
        <f>+VLOOKUP(C54,Pop_ISTAT!$A$10:$J$273,10,FALSE)</f>
        <v>25754</v>
      </c>
      <c r="P54" s="435"/>
      <c r="Q54" s="449">
        <f t="shared" si="10"/>
        <v>25754</v>
      </c>
      <c r="R54" s="429">
        <v>36</v>
      </c>
      <c r="S54" s="350">
        <f t="shared" si="7"/>
        <v>0</v>
      </c>
      <c r="T54" s="350">
        <f t="shared" si="8"/>
        <v>1082.4795289555793</v>
      </c>
    </row>
    <row r="55" spans="1:20" outlineLevel="3">
      <c r="A55" s="429">
        <v>33</v>
      </c>
      <c r="B55" s="429" t="s">
        <v>306</v>
      </c>
      <c r="C55" s="429" t="s">
        <v>342</v>
      </c>
      <c r="D55" s="430">
        <v>10239</v>
      </c>
      <c r="E55" s="429">
        <v>0.128</v>
      </c>
      <c r="F55" s="432"/>
      <c r="G55" s="433">
        <f t="shared" si="1"/>
        <v>52970.88566371685</v>
      </c>
      <c r="H55" s="434">
        <f t="shared" si="2"/>
        <v>6.3996800159991972E-3</v>
      </c>
      <c r="I55" s="433">
        <f t="shared" si="3"/>
        <v>2553.2153644266705</v>
      </c>
      <c r="J55" s="433">
        <f t="shared" si="4"/>
        <v>638.30384110666762</v>
      </c>
      <c r="K55" s="433">
        <f t="shared" si="5"/>
        <v>1914.9115233200027</v>
      </c>
      <c r="L55" s="433">
        <f t="shared" si="6"/>
        <v>512</v>
      </c>
      <c r="M55" s="435"/>
      <c r="N55" s="433"/>
      <c r="O55" s="436">
        <f>+VLOOKUP(C55,Pop_ISTAT!$A$10:$J$273,10,FALSE)</f>
        <v>25706</v>
      </c>
      <c r="P55" s="435"/>
      <c r="Q55" s="449">
        <f t="shared" si="10"/>
        <v>25706</v>
      </c>
      <c r="R55" s="429">
        <v>37</v>
      </c>
      <c r="S55" s="350">
        <f t="shared" si="7"/>
        <v>0</v>
      </c>
      <c r="T55" s="350">
        <f t="shared" si="8"/>
        <v>2553.2153644266705</v>
      </c>
    </row>
    <row r="56" spans="1:20" outlineLevel="3">
      <c r="A56" s="429">
        <v>50</v>
      </c>
      <c r="B56" s="429" t="s">
        <v>306</v>
      </c>
      <c r="C56" s="429" t="s">
        <v>359</v>
      </c>
      <c r="D56" s="430">
        <v>8450</v>
      </c>
      <c r="E56" s="429">
        <v>0.105</v>
      </c>
      <c r="F56" s="432"/>
      <c r="G56" s="433">
        <f t="shared" si="1"/>
        <v>43452.679646017721</v>
      </c>
      <c r="H56" s="434">
        <f t="shared" si="2"/>
        <v>5.2497375131243407E-3</v>
      </c>
      <c r="I56" s="433">
        <f t="shared" si="3"/>
        <v>2107.1071227078196</v>
      </c>
      <c r="J56" s="433">
        <f t="shared" si="4"/>
        <v>526.7767806769549</v>
      </c>
      <c r="K56" s="433">
        <f t="shared" si="5"/>
        <v>1580.3303420308648</v>
      </c>
      <c r="L56" s="433">
        <f t="shared" si="6"/>
        <v>420</v>
      </c>
      <c r="M56" s="435"/>
      <c r="N56" s="433"/>
      <c r="O56" s="436">
        <f>+VLOOKUP(C56,Pop_ISTAT!$A$10:$J$273,10,FALSE)</f>
        <v>25650</v>
      </c>
      <c r="P56" s="435"/>
      <c r="Q56" s="449">
        <f t="shared" si="10"/>
        <v>25650</v>
      </c>
      <c r="R56" s="429">
        <v>38</v>
      </c>
      <c r="S56" s="350">
        <f t="shared" si="7"/>
        <v>0</v>
      </c>
      <c r="T56" s="350">
        <f t="shared" si="8"/>
        <v>2107.1071227078196</v>
      </c>
    </row>
    <row r="57" spans="1:20" outlineLevel="3">
      <c r="A57" s="429">
        <v>30</v>
      </c>
      <c r="B57" s="429" t="s">
        <v>311</v>
      </c>
      <c r="C57" s="429" t="s">
        <v>339</v>
      </c>
      <c r="D57" s="430">
        <v>10753</v>
      </c>
      <c r="E57" s="429">
        <v>0.13400000000000001</v>
      </c>
      <c r="F57" s="432"/>
      <c r="G57" s="433">
        <f t="shared" si="1"/>
        <v>55453.895929203572</v>
      </c>
      <c r="H57" s="434">
        <f t="shared" si="2"/>
        <v>6.699665016749159E-3</v>
      </c>
      <c r="I57" s="433">
        <f t="shared" si="3"/>
        <v>2681.3873243168268</v>
      </c>
      <c r="J57" s="433">
        <f t="shared" si="4"/>
        <v>670.34683107920671</v>
      </c>
      <c r="K57" s="433">
        <f t="shared" si="5"/>
        <v>2011.04049323762</v>
      </c>
      <c r="L57" s="433">
        <f t="shared" si="6"/>
        <v>536</v>
      </c>
      <c r="M57" s="435"/>
      <c r="N57" s="433"/>
      <c r="O57" s="436">
        <f>+VLOOKUP(C57,Pop_ISTAT!$A$10:$J$273,10,FALSE)</f>
        <v>25304</v>
      </c>
      <c r="P57" s="435"/>
      <c r="Q57" s="449">
        <f t="shared" si="10"/>
        <v>25304</v>
      </c>
      <c r="R57" s="429">
        <v>39</v>
      </c>
      <c r="S57" s="350">
        <f t="shared" si="7"/>
        <v>0</v>
      </c>
      <c r="T57" s="350">
        <f t="shared" si="8"/>
        <v>2681.3873243168268</v>
      </c>
    </row>
    <row r="58" spans="1:20" outlineLevel="3" collapsed="1">
      <c r="A58" s="429">
        <v>58</v>
      </c>
      <c r="B58" s="429" t="s">
        <v>306</v>
      </c>
      <c r="C58" s="429" t="s">
        <v>368</v>
      </c>
      <c r="D58" s="430">
        <v>7554</v>
      </c>
      <c r="E58" s="429">
        <v>9.4E-2</v>
      </c>
      <c r="F58" s="432"/>
      <c r="G58" s="433">
        <f t="shared" si="1"/>
        <v>38900.494159292059</v>
      </c>
      <c r="H58" s="434">
        <f t="shared" si="2"/>
        <v>4.6997650117494103E-3</v>
      </c>
      <c r="I58" s="433">
        <f t="shared" si="3"/>
        <v>1883.6789591638899</v>
      </c>
      <c r="J58" s="433">
        <f t="shared" si="4"/>
        <v>470.91973979097247</v>
      </c>
      <c r="K58" s="433">
        <f t="shared" si="5"/>
        <v>1412.7592193729174</v>
      </c>
      <c r="L58" s="433">
        <f t="shared" si="6"/>
        <v>376</v>
      </c>
      <c r="M58" s="435"/>
      <c r="N58" s="433"/>
      <c r="O58" s="436">
        <f>+VLOOKUP(C58,Pop_ISTAT!$A$10:$J$273,10,FALSE)</f>
        <v>24195</v>
      </c>
      <c r="P58" s="435"/>
      <c r="Q58" s="449">
        <f t="shared" si="10"/>
        <v>24195</v>
      </c>
      <c r="R58" s="429">
        <v>40</v>
      </c>
      <c r="S58" s="350">
        <f t="shared" si="7"/>
        <v>0</v>
      </c>
      <c r="T58" s="350">
        <f t="shared" si="8"/>
        <v>1883.6789591638899</v>
      </c>
    </row>
    <row r="59" spans="1:20" outlineLevel="3">
      <c r="A59" s="429">
        <v>37</v>
      </c>
      <c r="B59" s="429" t="s">
        <v>306</v>
      </c>
      <c r="C59" s="429" t="s">
        <v>346</v>
      </c>
      <c r="D59" s="430">
        <v>9999</v>
      </c>
      <c r="E59" s="429">
        <v>0.125</v>
      </c>
      <c r="F59" s="432"/>
      <c r="G59" s="433">
        <f t="shared" si="1"/>
        <v>51729.380530973482</v>
      </c>
      <c r="H59" s="434">
        <f t="shared" si="2"/>
        <v>6.2496875156242155E-3</v>
      </c>
      <c r="I59" s="433">
        <f t="shared" si="3"/>
        <v>2493.3685349059751</v>
      </c>
      <c r="J59" s="433">
        <f t="shared" si="4"/>
        <v>623.34213372649378</v>
      </c>
      <c r="K59" s="433">
        <f t="shared" si="5"/>
        <v>1870.0264011794814</v>
      </c>
      <c r="L59" s="433">
        <f t="shared" si="6"/>
        <v>500</v>
      </c>
      <c r="M59" s="435"/>
      <c r="N59" s="433"/>
      <c r="O59" s="436">
        <f>+VLOOKUP(C59,Pop_ISTAT!$A$10:$J$273,10,FALSE)</f>
        <v>24177</v>
      </c>
      <c r="P59" s="435"/>
      <c r="Q59" s="449">
        <f t="shared" si="10"/>
        <v>24177</v>
      </c>
      <c r="R59" s="429">
        <v>41</v>
      </c>
      <c r="S59" s="350">
        <f t="shared" si="7"/>
        <v>0</v>
      </c>
      <c r="T59" s="350">
        <f t="shared" si="8"/>
        <v>2493.3685349059751</v>
      </c>
    </row>
    <row r="60" spans="1:20" outlineLevel="3">
      <c r="A60" s="429">
        <v>43</v>
      </c>
      <c r="B60" s="429" t="s">
        <v>311</v>
      </c>
      <c r="C60" s="429" t="s">
        <v>352</v>
      </c>
      <c r="D60" s="430">
        <v>9593</v>
      </c>
      <c r="E60" s="429">
        <v>0.12</v>
      </c>
      <c r="F60" s="432"/>
      <c r="G60" s="433">
        <f t="shared" si="1"/>
        <v>49660.205309734542</v>
      </c>
      <c r="H60" s="434">
        <f t="shared" si="2"/>
        <v>5.9997000149992468E-3</v>
      </c>
      <c r="I60" s="433">
        <f t="shared" si="3"/>
        <v>2392.127648300132</v>
      </c>
      <c r="J60" s="433">
        <f t="shared" si="4"/>
        <v>598.03191207503301</v>
      </c>
      <c r="K60" s="433">
        <f t="shared" si="5"/>
        <v>1794.095736225099</v>
      </c>
      <c r="L60" s="433">
        <f t="shared" si="6"/>
        <v>480</v>
      </c>
      <c r="M60" s="435"/>
      <c r="N60" s="433"/>
      <c r="O60" s="436">
        <f>+VLOOKUP(C60,Pop_ISTAT!$A$10:$J$273,10,FALSE)</f>
        <v>22828</v>
      </c>
      <c r="P60" s="435"/>
      <c r="Q60" s="449">
        <f t="shared" si="10"/>
        <v>22828</v>
      </c>
      <c r="R60" s="429">
        <v>42</v>
      </c>
      <c r="S60" s="350">
        <f t="shared" si="7"/>
        <v>0</v>
      </c>
      <c r="T60" s="350">
        <f t="shared" si="8"/>
        <v>2392.127648300132</v>
      </c>
    </row>
    <row r="61" spans="1:20" outlineLevel="3">
      <c r="A61" s="429">
        <v>27</v>
      </c>
      <c r="B61" s="429" t="s">
        <v>307</v>
      </c>
      <c r="C61" s="429" t="s">
        <v>336</v>
      </c>
      <c r="D61" s="430">
        <v>11299</v>
      </c>
      <c r="E61" s="429">
        <v>0.14099999999999999</v>
      </c>
      <c r="F61" s="432"/>
      <c r="G61" s="433">
        <f t="shared" si="1"/>
        <v>58350.741238938084</v>
      </c>
      <c r="H61" s="434">
        <f t="shared" si="2"/>
        <v>7.0496475176241146E-3</v>
      </c>
      <c r="I61" s="433">
        <f t="shared" si="3"/>
        <v>2817.5388614764088</v>
      </c>
      <c r="J61" s="433">
        <f t="shared" si="4"/>
        <v>704.3847153691022</v>
      </c>
      <c r="K61" s="433">
        <f t="shared" si="5"/>
        <v>2113.1541461073066</v>
      </c>
      <c r="L61" s="433">
        <f t="shared" si="6"/>
        <v>563.99999999999989</v>
      </c>
      <c r="M61" s="435"/>
      <c r="N61" s="433"/>
      <c r="O61" s="436">
        <f>+VLOOKUP(C61,Pop_ISTAT!$A$10:$J$273,10,FALSE)</f>
        <v>21720</v>
      </c>
      <c r="P61" s="435"/>
      <c r="Q61" s="449">
        <f t="shared" si="10"/>
        <v>21720</v>
      </c>
      <c r="R61" s="429">
        <v>43</v>
      </c>
      <c r="S61" s="350">
        <f t="shared" si="7"/>
        <v>0</v>
      </c>
      <c r="T61" s="350">
        <f t="shared" si="8"/>
        <v>2817.5388614764088</v>
      </c>
    </row>
    <row r="62" spans="1:20" outlineLevel="3">
      <c r="A62" s="429">
        <v>72</v>
      </c>
      <c r="B62" s="429" t="s">
        <v>306</v>
      </c>
      <c r="C62" s="429" t="s">
        <v>382</v>
      </c>
      <c r="D62" s="430">
        <v>6692</v>
      </c>
      <c r="E62" s="429">
        <v>8.3000000000000004E-2</v>
      </c>
      <c r="F62" s="432"/>
      <c r="G62" s="433">
        <f t="shared" si="1"/>
        <v>34348.308672566396</v>
      </c>
      <c r="H62" s="434">
        <f t="shared" si="2"/>
        <v>4.1497925103744799E-3</v>
      </c>
      <c r="I62" s="433">
        <f t="shared" si="3"/>
        <v>1668.7290964687254</v>
      </c>
      <c r="J62" s="433">
        <f t="shared" si="4"/>
        <v>417.18227411718135</v>
      </c>
      <c r="K62" s="433">
        <f t="shared" si="5"/>
        <v>1251.5468223515441</v>
      </c>
      <c r="L62" s="433">
        <f t="shared" si="6"/>
        <v>332</v>
      </c>
      <c r="M62" s="435"/>
      <c r="N62" s="433"/>
      <c r="O62" s="436">
        <f>+VLOOKUP(C62,Pop_ISTAT!$A$10:$J$273,10,FALSE)</f>
        <v>20350</v>
      </c>
      <c r="P62" s="435"/>
      <c r="Q62" s="449">
        <f t="shared" si="10"/>
        <v>20350</v>
      </c>
      <c r="R62" s="429">
        <v>44</v>
      </c>
      <c r="S62" s="350">
        <f t="shared" si="7"/>
        <v>0</v>
      </c>
      <c r="T62" s="350">
        <f t="shared" si="8"/>
        <v>1668.7290964687254</v>
      </c>
    </row>
    <row r="63" spans="1:20" outlineLevel="3">
      <c r="A63" s="429">
        <v>53</v>
      </c>
      <c r="B63" s="429" t="s">
        <v>306</v>
      </c>
      <c r="C63" s="429" t="s">
        <v>363</v>
      </c>
      <c r="D63" s="430">
        <v>8256</v>
      </c>
      <c r="E63" s="429">
        <v>0.10299999999999999</v>
      </c>
      <c r="F63" s="432"/>
      <c r="G63" s="433">
        <f t="shared" si="1"/>
        <v>42625.009557522149</v>
      </c>
      <c r="H63" s="434">
        <f t="shared" si="2"/>
        <v>5.1497425128743538E-3</v>
      </c>
      <c r="I63" s="433">
        <f t="shared" si="3"/>
        <v>2058.7309355119241</v>
      </c>
      <c r="J63" s="433">
        <f t="shared" si="4"/>
        <v>514.68273387798104</v>
      </c>
      <c r="K63" s="433">
        <f t="shared" si="5"/>
        <v>1544.0482016339431</v>
      </c>
      <c r="L63" s="433">
        <f t="shared" si="6"/>
        <v>412</v>
      </c>
      <c r="M63" s="435"/>
      <c r="N63" s="433"/>
      <c r="O63" s="436">
        <f>+VLOOKUP(C63,Pop_ISTAT!$A$10:$J$273,10,FALSE)</f>
        <v>19727</v>
      </c>
      <c r="P63" s="435"/>
      <c r="Q63" s="458">
        <f t="shared" si="10"/>
        <v>19727</v>
      </c>
      <c r="R63" s="429">
        <v>45</v>
      </c>
      <c r="S63" s="350">
        <f t="shared" si="7"/>
        <v>0</v>
      </c>
      <c r="T63" s="350">
        <f t="shared" si="8"/>
        <v>2058.7309355119241</v>
      </c>
    </row>
    <row r="64" spans="1:20" outlineLevel="3">
      <c r="A64" s="429">
        <v>93</v>
      </c>
      <c r="B64" s="429" t="s">
        <v>306</v>
      </c>
      <c r="C64" s="429" t="s">
        <v>403</v>
      </c>
      <c r="D64" s="430">
        <v>5673</v>
      </c>
      <c r="E64" s="429">
        <v>7.0999999999999994E-2</v>
      </c>
      <c r="F64" s="432"/>
      <c r="G64" s="433">
        <f t="shared" si="1"/>
        <v>29382.288141592933</v>
      </c>
      <c r="H64" s="434">
        <f t="shared" si="2"/>
        <v>3.5498225088745538E-3</v>
      </c>
      <c r="I64" s="433">
        <f t="shared" si="3"/>
        <v>1414.6294327954392</v>
      </c>
      <c r="J64" s="433">
        <f t="shared" si="4"/>
        <v>353.65735819885981</v>
      </c>
      <c r="K64" s="433">
        <f t="shared" si="5"/>
        <v>1060.9720745965794</v>
      </c>
      <c r="L64" s="433">
        <f t="shared" si="6"/>
        <v>283.99999999999994</v>
      </c>
      <c r="M64" s="435"/>
      <c r="N64" s="433"/>
      <c r="O64" s="436">
        <f>+VLOOKUP(C64,Pop_ISTAT!$A$10:$J$273,10,FALSE)</f>
        <v>19667</v>
      </c>
      <c r="P64" s="435"/>
      <c r="Q64" s="458">
        <f t="shared" si="10"/>
        <v>19667</v>
      </c>
      <c r="R64" s="429">
        <v>46</v>
      </c>
      <c r="S64" s="350">
        <f t="shared" si="7"/>
        <v>0</v>
      </c>
      <c r="T64" s="350">
        <f t="shared" si="8"/>
        <v>1414.6294327954392</v>
      </c>
    </row>
    <row r="65" spans="1:20" outlineLevel="3">
      <c r="A65" s="429">
        <v>98</v>
      </c>
      <c r="B65" s="429" t="s">
        <v>306</v>
      </c>
      <c r="C65" s="429" t="s">
        <v>408</v>
      </c>
      <c r="D65" s="430">
        <v>5559</v>
      </c>
      <c r="E65" s="429">
        <v>6.9000000000000006E-2</v>
      </c>
      <c r="F65" s="432"/>
      <c r="G65" s="433">
        <f t="shared" si="1"/>
        <v>28554.618053097362</v>
      </c>
      <c r="H65" s="434">
        <f t="shared" si="2"/>
        <v>3.4498275086245669E-3</v>
      </c>
      <c r="I65" s="433">
        <f t="shared" si="3"/>
        <v>1386.2021887731089</v>
      </c>
      <c r="J65" s="433">
        <f t="shared" si="4"/>
        <v>346.55054719327723</v>
      </c>
      <c r="K65" s="433">
        <f t="shared" si="5"/>
        <v>1039.6516415798317</v>
      </c>
      <c r="L65" s="433">
        <f t="shared" si="6"/>
        <v>276.00000000000006</v>
      </c>
      <c r="M65" s="435"/>
      <c r="N65" s="433"/>
      <c r="O65" s="436">
        <f>+VLOOKUP(C65,Pop_ISTAT!$A$10:$J$273,10,FALSE)</f>
        <v>19188</v>
      </c>
      <c r="P65" s="435"/>
      <c r="Q65" s="458">
        <f t="shared" si="10"/>
        <v>19188</v>
      </c>
      <c r="R65" s="429">
        <v>47</v>
      </c>
      <c r="S65" s="350">
        <f t="shared" si="7"/>
        <v>0</v>
      </c>
      <c r="T65" s="350">
        <f t="shared" si="8"/>
        <v>1386.2021887731089</v>
      </c>
    </row>
    <row r="66" spans="1:20" outlineLevel="3">
      <c r="A66" s="429">
        <v>35</v>
      </c>
      <c r="B66" s="429" t="s">
        <v>306</v>
      </c>
      <c r="C66" s="429" t="s">
        <v>344</v>
      </c>
      <c r="D66" s="430">
        <v>10169</v>
      </c>
      <c r="E66" s="429">
        <v>0.127</v>
      </c>
      <c r="F66" s="432"/>
      <c r="G66" s="433">
        <f t="shared" si="1"/>
        <v>52557.050619469053</v>
      </c>
      <c r="H66" s="434">
        <f t="shared" si="2"/>
        <v>6.3496825158742025E-3</v>
      </c>
      <c r="I66" s="433">
        <f t="shared" si="3"/>
        <v>2535.7600391498008</v>
      </c>
      <c r="J66" s="433">
        <f t="shared" si="4"/>
        <v>633.94000978745021</v>
      </c>
      <c r="K66" s="433">
        <f t="shared" si="5"/>
        <v>1901.8200293623506</v>
      </c>
      <c r="L66" s="433">
        <f t="shared" si="6"/>
        <v>508</v>
      </c>
      <c r="M66" s="435"/>
      <c r="N66" s="433"/>
      <c r="O66" s="436">
        <f>+VLOOKUP(C66,Pop_ISTAT!$A$10:$J$273,10,FALSE)</f>
        <v>19126</v>
      </c>
      <c r="P66" s="435"/>
      <c r="Q66" s="458">
        <f t="shared" si="10"/>
        <v>19126</v>
      </c>
      <c r="R66" s="429">
        <v>48</v>
      </c>
      <c r="S66" s="350">
        <f t="shared" si="7"/>
        <v>0</v>
      </c>
      <c r="T66" s="350">
        <f t="shared" si="8"/>
        <v>2535.7600391498008</v>
      </c>
    </row>
    <row r="67" spans="1:20" outlineLevel="3">
      <c r="A67" s="429">
        <v>54</v>
      </c>
      <c r="B67" s="429" t="s">
        <v>311</v>
      </c>
      <c r="C67" s="429" t="s">
        <v>364</v>
      </c>
      <c r="D67" s="430">
        <v>8205</v>
      </c>
      <c r="E67" s="429">
        <v>0.10199999999999999</v>
      </c>
      <c r="F67" s="432"/>
      <c r="G67" s="433">
        <f t="shared" si="1"/>
        <v>42211.174513274353</v>
      </c>
      <c r="H67" s="434">
        <f t="shared" si="2"/>
        <v>5.099745012749359E-3</v>
      </c>
      <c r="I67" s="433">
        <f t="shared" si="3"/>
        <v>2046.0134842387763</v>
      </c>
      <c r="J67" s="433">
        <f t="shared" si="4"/>
        <v>511.50337105969408</v>
      </c>
      <c r="K67" s="433">
        <f t="shared" si="5"/>
        <v>1534.5101131790823</v>
      </c>
      <c r="L67" s="433">
        <f t="shared" si="6"/>
        <v>408</v>
      </c>
      <c r="M67" s="435"/>
      <c r="N67" s="433"/>
      <c r="O67" s="436">
        <f>+VLOOKUP(C67,Pop_ISTAT!$A$10:$J$273,10,FALSE)</f>
        <v>19090</v>
      </c>
      <c r="P67" s="435"/>
      <c r="Q67" s="458">
        <f t="shared" si="10"/>
        <v>19090</v>
      </c>
      <c r="R67" s="429">
        <v>49</v>
      </c>
      <c r="S67" s="350">
        <f t="shared" si="7"/>
        <v>0</v>
      </c>
      <c r="T67" s="350">
        <f t="shared" si="8"/>
        <v>2046.0134842387763</v>
      </c>
    </row>
    <row r="68" spans="1:20" outlineLevel="3">
      <c r="A68" s="429">
        <v>40</v>
      </c>
      <c r="B68" s="429" t="s">
        <v>311</v>
      </c>
      <c r="C68" s="429" t="s">
        <v>349</v>
      </c>
      <c r="D68" s="430">
        <v>9738</v>
      </c>
      <c r="E68" s="429">
        <v>0.121</v>
      </c>
      <c r="F68" s="432"/>
      <c r="G68" s="433">
        <f t="shared" si="1"/>
        <v>50074.040353982324</v>
      </c>
      <c r="H68" s="434">
        <f t="shared" si="2"/>
        <v>6.0496975151242399E-3</v>
      </c>
      <c r="I68" s="433">
        <f t="shared" si="3"/>
        <v>2428.2851078022186</v>
      </c>
      <c r="J68" s="433">
        <f t="shared" si="4"/>
        <v>607.07127695055465</v>
      </c>
      <c r="K68" s="433">
        <f t="shared" si="5"/>
        <v>1821.2138308516639</v>
      </c>
      <c r="L68" s="433">
        <f t="shared" si="6"/>
        <v>484</v>
      </c>
      <c r="M68" s="435"/>
      <c r="N68" s="433"/>
      <c r="O68" s="436">
        <f>+VLOOKUP(C68,Pop_ISTAT!$A$10:$J$273,10,FALSE)</f>
        <v>18931</v>
      </c>
      <c r="P68" s="435"/>
      <c r="Q68" s="458">
        <f t="shared" si="10"/>
        <v>18931</v>
      </c>
      <c r="R68" s="429">
        <v>50</v>
      </c>
      <c r="S68" s="350">
        <f t="shared" si="7"/>
        <v>0</v>
      </c>
      <c r="T68" s="350">
        <f t="shared" si="8"/>
        <v>2428.2851078022186</v>
      </c>
    </row>
    <row r="69" spans="1:20" outlineLevel="3">
      <c r="A69" s="429">
        <v>51</v>
      </c>
      <c r="B69" s="429" t="s">
        <v>315</v>
      </c>
      <c r="C69" s="429" t="s">
        <v>360</v>
      </c>
      <c r="D69" s="430">
        <v>8341</v>
      </c>
      <c r="E69" s="429">
        <v>0.104</v>
      </c>
      <c r="F69" s="432"/>
      <c r="G69" s="433">
        <f t="shared" si="1"/>
        <v>43038.844601769932</v>
      </c>
      <c r="H69" s="434">
        <f t="shared" si="2"/>
        <v>5.1997400129993468E-3</v>
      </c>
      <c r="I69" s="433">
        <f t="shared" si="3"/>
        <v>2079.926687633837</v>
      </c>
      <c r="J69" s="433">
        <f t="shared" si="4"/>
        <v>519.98167190845925</v>
      </c>
      <c r="K69" s="433">
        <f t="shared" si="5"/>
        <v>1559.9450157253777</v>
      </c>
      <c r="L69" s="433">
        <f t="shared" si="6"/>
        <v>416</v>
      </c>
      <c r="M69" s="435"/>
      <c r="N69" s="433"/>
      <c r="O69" s="436">
        <f>+VLOOKUP(C69,Pop_ISTAT!$A$10:$J$273,10,FALSE)</f>
        <v>18503</v>
      </c>
      <c r="P69" s="435"/>
      <c r="Q69" s="458">
        <f t="shared" si="10"/>
        <v>18503</v>
      </c>
      <c r="R69" s="429">
        <v>51</v>
      </c>
      <c r="S69" s="350">
        <f t="shared" si="7"/>
        <v>0</v>
      </c>
      <c r="T69" s="350">
        <f t="shared" si="8"/>
        <v>2079.926687633837</v>
      </c>
    </row>
    <row r="70" spans="1:20" outlineLevel="3">
      <c r="A70" s="429">
        <v>61</v>
      </c>
      <c r="B70" s="429" t="s">
        <v>306</v>
      </c>
      <c r="C70" s="429" t="s">
        <v>371</v>
      </c>
      <c r="D70" s="430">
        <v>7379</v>
      </c>
      <c r="E70" s="429">
        <v>9.1999999999999998E-2</v>
      </c>
      <c r="F70" s="432"/>
      <c r="G70" s="433">
        <f t="shared" si="1"/>
        <v>38072.82407079648</v>
      </c>
      <c r="H70" s="434">
        <f t="shared" si="2"/>
        <v>4.5997700114994225E-3</v>
      </c>
      <c r="I70" s="433">
        <f t="shared" si="3"/>
        <v>1840.0406459717162</v>
      </c>
      <c r="J70" s="433">
        <f t="shared" si="4"/>
        <v>460.01016149292906</v>
      </c>
      <c r="K70" s="433">
        <f t="shared" si="5"/>
        <v>1380.0304844787872</v>
      </c>
      <c r="L70" s="433">
        <f t="shared" si="6"/>
        <v>368</v>
      </c>
      <c r="M70" s="435"/>
      <c r="N70" s="433"/>
      <c r="O70" s="436">
        <f>+VLOOKUP(C70,Pop_ISTAT!$A$10:$J$273,10,FALSE)</f>
        <v>18215</v>
      </c>
      <c r="P70" s="435"/>
      <c r="Q70" s="458">
        <f t="shared" si="10"/>
        <v>18215</v>
      </c>
      <c r="R70" s="429">
        <v>52</v>
      </c>
      <c r="S70" s="350">
        <f t="shared" si="7"/>
        <v>0</v>
      </c>
      <c r="T70" s="350">
        <f t="shared" si="8"/>
        <v>1840.0406459717162</v>
      </c>
    </row>
    <row r="71" spans="1:20" outlineLevel="3">
      <c r="A71" s="429">
        <v>62</v>
      </c>
      <c r="B71" s="429" t="s">
        <v>306</v>
      </c>
      <c r="C71" s="429" t="s">
        <v>372</v>
      </c>
      <c r="D71" s="430">
        <v>7331</v>
      </c>
      <c r="E71" s="429">
        <v>9.0999999999999998E-2</v>
      </c>
      <c r="F71" s="432"/>
      <c r="G71" s="433">
        <f t="shared" si="1"/>
        <v>37658.98902654869</v>
      </c>
      <c r="H71" s="434">
        <f t="shared" si="2"/>
        <v>4.5497725113744286E-3</v>
      </c>
      <c r="I71" s="433">
        <f t="shared" si="3"/>
        <v>1828.0712800675772</v>
      </c>
      <c r="J71" s="433">
        <f t="shared" si="4"/>
        <v>457.01782001689429</v>
      </c>
      <c r="K71" s="433">
        <f t="shared" si="5"/>
        <v>1371.0534600506828</v>
      </c>
      <c r="L71" s="433">
        <f t="shared" si="6"/>
        <v>364</v>
      </c>
      <c r="M71" s="435"/>
      <c r="N71" s="433"/>
      <c r="O71" s="436">
        <f>+VLOOKUP(C71,Pop_ISTAT!$A$10:$J$273,10,FALSE)</f>
        <v>18100</v>
      </c>
      <c r="P71" s="435"/>
      <c r="Q71" s="458">
        <f t="shared" si="10"/>
        <v>18100</v>
      </c>
      <c r="R71" s="429">
        <v>53</v>
      </c>
      <c r="S71" s="350">
        <f t="shared" si="7"/>
        <v>0</v>
      </c>
      <c r="T71" s="350">
        <f t="shared" si="8"/>
        <v>1828.0712800675772</v>
      </c>
    </row>
    <row r="72" spans="1:20" outlineLevel="3">
      <c r="A72" s="429">
        <v>55</v>
      </c>
      <c r="B72" s="429" t="s">
        <v>315</v>
      </c>
      <c r="C72" s="429" t="s">
        <v>365</v>
      </c>
      <c r="D72" s="430">
        <v>8117</v>
      </c>
      <c r="E72" s="429">
        <v>0.10100000000000001</v>
      </c>
      <c r="F72" s="432"/>
      <c r="G72" s="433">
        <f t="shared" si="1"/>
        <v>41797.339469026578</v>
      </c>
      <c r="H72" s="434">
        <f t="shared" si="2"/>
        <v>5.0497475126243668E-3</v>
      </c>
      <c r="I72" s="433">
        <f t="shared" si="3"/>
        <v>2024.0696467478547</v>
      </c>
      <c r="J72" s="433">
        <f t="shared" si="4"/>
        <v>506.01741168696367</v>
      </c>
      <c r="K72" s="433">
        <f t="shared" si="5"/>
        <v>1518.052235060891</v>
      </c>
      <c r="L72" s="433">
        <f t="shared" si="6"/>
        <v>404</v>
      </c>
      <c r="M72" s="435"/>
      <c r="N72" s="433"/>
      <c r="O72" s="436">
        <f>+VLOOKUP(C72,Pop_ISTAT!$A$10:$J$273,10,FALSE)</f>
        <v>17842</v>
      </c>
      <c r="P72" s="435"/>
      <c r="Q72" s="458">
        <f t="shared" si="10"/>
        <v>17842</v>
      </c>
      <c r="R72" s="429">
        <v>54</v>
      </c>
      <c r="S72" s="350">
        <f t="shared" si="7"/>
        <v>0</v>
      </c>
      <c r="T72" s="350">
        <f t="shared" si="8"/>
        <v>2024.0696467478547</v>
      </c>
    </row>
    <row r="73" spans="1:20" outlineLevel="3">
      <c r="A73" s="429">
        <v>67</v>
      </c>
      <c r="B73" s="429" t="s">
        <v>306</v>
      </c>
      <c r="C73" s="429" t="s">
        <v>377</v>
      </c>
      <c r="D73" s="430">
        <v>7076</v>
      </c>
      <c r="E73" s="429">
        <v>8.7999999999999995E-2</v>
      </c>
      <c r="F73" s="432"/>
      <c r="G73" s="433">
        <f t="shared" si="1"/>
        <v>36417.483893805329</v>
      </c>
      <c r="H73" s="434">
        <f t="shared" si="2"/>
        <v>4.3997800109994477E-3</v>
      </c>
      <c r="I73" s="433">
        <f t="shared" si="3"/>
        <v>1764.4840237018382</v>
      </c>
      <c r="J73" s="433">
        <f t="shared" si="4"/>
        <v>441.12100592545954</v>
      </c>
      <c r="K73" s="433">
        <f t="shared" si="5"/>
        <v>1323.3630177763787</v>
      </c>
      <c r="L73" s="433">
        <f t="shared" si="6"/>
        <v>352</v>
      </c>
      <c r="M73" s="435"/>
      <c r="N73" s="433"/>
      <c r="O73" s="436">
        <f>+VLOOKUP(C73,Pop_ISTAT!$A$10:$J$273,10,FALSE)</f>
        <v>17336</v>
      </c>
      <c r="P73" s="435"/>
      <c r="Q73" s="458">
        <f t="shared" si="10"/>
        <v>17336</v>
      </c>
      <c r="R73" s="429">
        <v>55</v>
      </c>
      <c r="S73" s="350">
        <f t="shared" si="7"/>
        <v>0</v>
      </c>
      <c r="T73" s="350">
        <f t="shared" si="8"/>
        <v>1764.4840237018382</v>
      </c>
    </row>
    <row r="74" spans="1:20" outlineLevel="3">
      <c r="A74" s="429">
        <v>139</v>
      </c>
      <c r="B74" s="429" t="s">
        <v>306</v>
      </c>
      <c r="C74" s="429" t="s">
        <v>449</v>
      </c>
      <c r="D74" s="430">
        <v>3843</v>
      </c>
      <c r="E74" s="429">
        <v>4.8000000000000001E-2</v>
      </c>
      <c r="F74" s="432"/>
      <c r="G74" s="433">
        <f t="shared" si="1"/>
        <v>19864.082123893819</v>
      </c>
      <c r="H74" s="434">
        <f t="shared" si="2"/>
        <v>2.3998800059996991E-3</v>
      </c>
      <c r="I74" s="433">
        <f t="shared" si="3"/>
        <v>958.29735770013622</v>
      </c>
      <c r="J74" s="433">
        <f t="shared" si="4"/>
        <v>239.57433942503405</v>
      </c>
      <c r="K74" s="433">
        <f t="shared" si="5"/>
        <v>718.72301827510216</v>
      </c>
      <c r="L74" s="433">
        <f t="shared" si="6"/>
        <v>192</v>
      </c>
      <c r="M74" s="435"/>
      <c r="N74" s="433"/>
      <c r="O74" s="436">
        <f>+VLOOKUP(C74,Pop_ISTAT!$A$10:$J$273,10,FALSE)</f>
        <v>17219</v>
      </c>
      <c r="P74" s="435"/>
      <c r="Q74" s="458">
        <f t="shared" si="10"/>
        <v>17219</v>
      </c>
      <c r="R74" s="429">
        <v>56</v>
      </c>
      <c r="S74" s="350">
        <f t="shared" si="7"/>
        <v>0</v>
      </c>
      <c r="T74" s="350">
        <f t="shared" si="8"/>
        <v>958.29735770013622</v>
      </c>
    </row>
    <row r="75" spans="1:20" outlineLevel="3">
      <c r="A75" s="429">
        <v>29</v>
      </c>
      <c r="B75" s="429" t="s">
        <v>315</v>
      </c>
      <c r="C75" s="429" t="s">
        <v>338</v>
      </c>
      <c r="D75" s="430">
        <v>11052</v>
      </c>
      <c r="E75" s="429">
        <v>0.13800000000000001</v>
      </c>
      <c r="F75" s="432"/>
      <c r="G75" s="433">
        <f t="shared" si="1"/>
        <v>57109.236106194723</v>
      </c>
      <c r="H75" s="434">
        <f t="shared" si="2"/>
        <v>6.8996550172491337E-3</v>
      </c>
      <c r="I75" s="433">
        <f t="shared" si="3"/>
        <v>2755.9464994280265</v>
      </c>
      <c r="J75" s="433">
        <f t="shared" si="4"/>
        <v>688.98662485700663</v>
      </c>
      <c r="K75" s="433">
        <f t="shared" si="5"/>
        <v>2066.95987457102</v>
      </c>
      <c r="L75" s="433">
        <f t="shared" si="6"/>
        <v>552.00000000000011</v>
      </c>
      <c r="M75" s="435"/>
      <c r="N75" s="433"/>
      <c r="O75" s="436">
        <f>+VLOOKUP(C75,Pop_ISTAT!$A$10:$J$273,10,FALSE)</f>
        <v>16983</v>
      </c>
      <c r="P75" s="435"/>
      <c r="Q75" s="458">
        <f t="shared" si="10"/>
        <v>16983</v>
      </c>
      <c r="R75" s="429">
        <v>57</v>
      </c>
      <c r="S75" s="350">
        <f t="shared" si="7"/>
        <v>0</v>
      </c>
      <c r="T75" s="350">
        <f t="shared" si="8"/>
        <v>2755.9464994280265</v>
      </c>
    </row>
    <row r="76" spans="1:20" outlineLevel="3">
      <c r="A76" s="429">
        <v>23</v>
      </c>
      <c r="B76" s="429" t="s">
        <v>311</v>
      </c>
      <c r="C76" s="429" t="s">
        <v>332</v>
      </c>
      <c r="D76" s="430">
        <v>12409</v>
      </c>
      <c r="E76" s="429">
        <v>0.155</v>
      </c>
      <c r="F76" s="432"/>
      <c r="G76" s="433">
        <f t="shared" si="1"/>
        <v>64144.431858407115</v>
      </c>
      <c r="H76" s="434">
        <f t="shared" si="2"/>
        <v>7.7496125193740268E-3</v>
      </c>
      <c r="I76" s="433">
        <f t="shared" si="3"/>
        <v>3094.3304480096253</v>
      </c>
      <c r="J76" s="433">
        <f t="shared" si="4"/>
        <v>773.58261200240634</v>
      </c>
      <c r="K76" s="433">
        <f t="shared" si="5"/>
        <v>2320.7478360072191</v>
      </c>
      <c r="L76" s="433">
        <f t="shared" si="6"/>
        <v>620</v>
      </c>
      <c r="M76" s="435"/>
      <c r="N76" s="433"/>
      <c r="O76" s="436">
        <f>+VLOOKUP(C76,Pop_ISTAT!$A$10:$J$273,10,FALSE)</f>
        <v>16913</v>
      </c>
      <c r="P76" s="435"/>
      <c r="Q76" s="458">
        <f t="shared" si="10"/>
        <v>16913</v>
      </c>
      <c r="R76" s="429">
        <v>58</v>
      </c>
      <c r="S76" s="350">
        <f t="shared" si="7"/>
        <v>0</v>
      </c>
      <c r="T76" s="350">
        <f t="shared" si="8"/>
        <v>3094.3304480096253</v>
      </c>
    </row>
    <row r="77" spans="1:20" outlineLevel="3">
      <c r="A77" s="429">
        <v>110</v>
      </c>
      <c r="B77" s="429" t="s">
        <v>309</v>
      </c>
      <c r="C77" s="429" t="s">
        <v>420</v>
      </c>
      <c r="D77" s="430">
        <v>5116</v>
      </c>
      <c r="E77" s="429">
        <v>6.4000000000000001E-2</v>
      </c>
      <c r="F77" s="432"/>
      <c r="G77" s="433">
        <f t="shared" si="1"/>
        <v>26485.442831858425</v>
      </c>
      <c r="H77" s="434">
        <f t="shared" si="2"/>
        <v>3.1998400079995986E-3</v>
      </c>
      <c r="I77" s="433">
        <f t="shared" si="3"/>
        <v>1275.7349159494918</v>
      </c>
      <c r="J77" s="433">
        <f t="shared" si="4"/>
        <v>318.93372898737294</v>
      </c>
      <c r="K77" s="433">
        <f t="shared" si="5"/>
        <v>956.80118696211889</v>
      </c>
      <c r="L77" s="433">
        <f t="shared" si="6"/>
        <v>256</v>
      </c>
      <c r="M77" s="435"/>
      <c r="N77" s="433"/>
      <c r="O77" s="436">
        <f>+VLOOKUP(C77,Pop_ISTAT!$A$10:$J$273,10,FALSE)</f>
        <v>16609</v>
      </c>
      <c r="P77" s="435"/>
      <c r="Q77" s="458">
        <f t="shared" si="10"/>
        <v>16609</v>
      </c>
      <c r="R77" s="429">
        <v>59</v>
      </c>
      <c r="S77" s="350">
        <f t="shared" si="7"/>
        <v>0</v>
      </c>
      <c r="T77" s="350">
        <f t="shared" si="8"/>
        <v>1275.7349159494918</v>
      </c>
    </row>
    <row r="78" spans="1:20" outlineLevel="3">
      <c r="A78" s="429">
        <v>141</v>
      </c>
      <c r="B78" s="429" t="s">
        <v>306</v>
      </c>
      <c r="C78" s="429" t="s">
        <v>451</v>
      </c>
      <c r="D78" s="430">
        <v>3824</v>
      </c>
      <c r="E78" s="429">
        <v>4.8000000000000001E-2</v>
      </c>
      <c r="F78" s="432"/>
      <c r="G78" s="433">
        <f t="shared" si="1"/>
        <v>19864.082123893819</v>
      </c>
      <c r="H78" s="434">
        <f t="shared" si="2"/>
        <v>2.3998800059996991E-3</v>
      </c>
      <c r="I78" s="433">
        <f t="shared" si="3"/>
        <v>953.55948369641453</v>
      </c>
      <c r="J78" s="433">
        <f t="shared" si="4"/>
        <v>238.38987092410363</v>
      </c>
      <c r="K78" s="433">
        <f t="shared" si="5"/>
        <v>715.16961277231087</v>
      </c>
      <c r="L78" s="433">
        <f t="shared" si="6"/>
        <v>192</v>
      </c>
      <c r="M78" s="435"/>
      <c r="N78" s="433"/>
      <c r="O78" s="436">
        <f>+VLOOKUP(C78,Pop_ISTAT!$A$10:$J$273,10,FALSE)</f>
        <v>16452</v>
      </c>
      <c r="P78" s="435"/>
      <c r="Q78" s="458">
        <f t="shared" si="10"/>
        <v>16452</v>
      </c>
      <c r="R78" s="429">
        <v>60</v>
      </c>
      <c r="S78" s="350">
        <f t="shared" si="7"/>
        <v>0</v>
      </c>
      <c r="T78" s="350">
        <f t="shared" si="8"/>
        <v>953.55948369641453</v>
      </c>
    </row>
    <row r="79" spans="1:20" outlineLevel="3">
      <c r="A79" s="429">
        <v>78</v>
      </c>
      <c r="B79" s="429" t="s">
        <v>309</v>
      </c>
      <c r="C79" s="429" t="s">
        <v>388</v>
      </c>
      <c r="D79" s="430">
        <v>6336</v>
      </c>
      <c r="E79" s="429">
        <v>7.9000000000000001E-2</v>
      </c>
      <c r="F79" s="432"/>
      <c r="G79" s="433">
        <f t="shared" si="1"/>
        <v>32692.968495575242</v>
      </c>
      <c r="H79" s="434">
        <f t="shared" si="2"/>
        <v>3.9498025098745042E-3</v>
      </c>
      <c r="I79" s="433">
        <f t="shared" si="3"/>
        <v>1579.9562993463603</v>
      </c>
      <c r="J79" s="433">
        <f t="shared" si="4"/>
        <v>394.98907483659008</v>
      </c>
      <c r="K79" s="433">
        <f t="shared" si="5"/>
        <v>1184.9672245097702</v>
      </c>
      <c r="L79" s="433">
        <f t="shared" si="6"/>
        <v>316</v>
      </c>
      <c r="M79" s="435"/>
      <c r="N79" s="433"/>
      <c r="O79" s="436">
        <f>+VLOOKUP(C79,Pop_ISTAT!$A$10:$J$273,10,FALSE)</f>
        <v>16348</v>
      </c>
      <c r="P79" s="435"/>
      <c r="Q79" s="458">
        <f t="shared" si="10"/>
        <v>16348</v>
      </c>
      <c r="R79" s="429">
        <v>61</v>
      </c>
      <c r="S79" s="350">
        <f t="shared" si="7"/>
        <v>0</v>
      </c>
      <c r="T79" s="350">
        <f t="shared" si="8"/>
        <v>1579.9562993463603</v>
      </c>
    </row>
    <row r="80" spans="1:20" outlineLevel="3">
      <c r="A80" s="429">
        <v>41</v>
      </c>
      <c r="B80" s="429" t="s">
        <v>307</v>
      </c>
      <c r="C80" s="429" t="s">
        <v>350</v>
      </c>
      <c r="D80" s="430">
        <v>9736</v>
      </c>
      <c r="E80" s="429">
        <v>0.121</v>
      </c>
      <c r="F80" s="432"/>
      <c r="G80" s="433">
        <f t="shared" si="1"/>
        <v>50074.040353982324</v>
      </c>
      <c r="H80" s="434">
        <f t="shared" si="2"/>
        <v>6.0496975151242399E-3</v>
      </c>
      <c r="I80" s="433">
        <f t="shared" si="3"/>
        <v>2427.7863842228794</v>
      </c>
      <c r="J80" s="433">
        <f t="shared" si="4"/>
        <v>606.94659605571985</v>
      </c>
      <c r="K80" s="433">
        <f t="shared" si="5"/>
        <v>1820.8397881671594</v>
      </c>
      <c r="L80" s="433">
        <f t="shared" si="6"/>
        <v>484</v>
      </c>
      <c r="M80" s="435"/>
      <c r="N80" s="433"/>
      <c r="O80" s="436">
        <f>+VLOOKUP(C80,Pop_ISTAT!$A$10:$J$273,10,FALSE)</f>
        <v>15923</v>
      </c>
      <c r="P80" s="435"/>
      <c r="Q80" s="458">
        <f t="shared" si="10"/>
        <v>15923</v>
      </c>
      <c r="R80" s="429">
        <v>62</v>
      </c>
      <c r="S80" s="350">
        <f t="shared" si="7"/>
        <v>0</v>
      </c>
      <c r="T80" s="350">
        <f t="shared" si="8"/>
        <v>2427.7863842228794</v>
      </c>
    </row>
    <row r="81" spans="1:20" outlineLevel="3">
      <c r="A81" s="429">
        <v>107</v>
      </c>
      <c r="B81" s="429" t="s">
        <v>307</v>
      </c>
      <c r="C81" s="429" t="s">
        <v>417</v>
      </c>
      <c r="D81" s="430">
        <v>5151</v>
      </c>
      <c r="E81" s="429">
        <v>6.4000000000000001E-2</v>
      </c>
      <c r="F81" s="432"/>
      <c r="G81" s="433">
        <f t="shared" si="1"/>
        <v>26485.442831858425</v>
      </c>
      <c r="H81" s="434">
        <f t="shared" si="2"/>
        <v>3.1998400079995986E-3</v>
      </c>
      <c r="I81" s="433">
        <f t="shared" si="3"/>
        <v>1284.4625785879266</v>
      </c>
      <c r="J81" s="433">
        <f t="shared" si="4"/>
        <v>321.11564464698165</v>
      </c>
      <c r="K81" s="433">
        <f t="shared" si="5"/>
        <v>963.34693394094495</v>
      </c>
      <c r="L81" s="433">
        <f t="shared" si="6"/>
        <v>256</v>
      </c>
      <c r="M81" s="435"/>
      <c r="N81" s="433"/>
      <c r="O81" s="436">
        <f>+VLOOKUP(C81,Pop_ISTAT!$A$10:$J$273,10,FALSE)</f>
        <v>15681</v>
      </c>
      <c r="P81" s="435"/>
      <c r="Q81" s="458">
        <f t="shared" si="10"/>
        <v>15681</v>
      </c>
      <c r="R81" s="429">
        <v>63</v>
      </c>
      <c r="S81" s="350">
        <f t="shared" si="7"/>
        <v>0</v>
      </c>
      <c r="T81" s="350">
        <f t="shared" si="8"/>
        <v>1284.4625785879266</v>
      </c>
    </row>
    <row r="82" spans="1:20" outlineLevel="3">
      <c r="A82" s="429">
        <v>175</v>
      </c>
      <c r="B82" s="429" t="s">
        <v>307</v>
      </c>
      <c r="C82" s="429" t="s">
        <v>485</v>
      </c>
      <c r="D82" s="430">
        <v>2977</v>
      </c>
      <c r="E82" s="429">
        <v>3.6999999999999998E-2</v>
      </c>
      <c r="F82" s="432"/>
      <c r="G82" s="433">
        <f t="shared" si="1"/>
        <v>15311.896637168149</v>
      </c>
      <c r="H82" s="434">
        <f t="shared" si="2"/>
        <v>1.8499075046247676E-3</v>
      </c>
      <c r="I82" s="433">
        <f t="shared" si="3"/>
        <v>742.35004784629336</v>
      </c>
      <c r="J82" s="433">
        <f t="shared" si="4"/>
        <v>185.58751196157334</v>
      </c>
      <c r="K82" s="433">
        <f t="shared" si="5"/>
        <v>556.76253588472002</v>
      </c>
      <c r="L82" s="433">
        <f t="shared" si="6"/>
        <v>148</v>
      </c>
      <c r="M82" s="435"/>
      <c r="N82" s="433"/>
      <c r="O82" s="436">
        <f>+VLOOKUP(C82,Pop_ISTAT!$A$10:$J$273,10,FALSE)</f>
        <v>15156</v>
      </c>
      <c r="P82" s="435"/>
      <c r="Q82" s="458">
        <f t="shared" si="10"/>
        <v>15156</v>
      </c>
      <c r="R82" s="429">
        <v>64</v>
      </c>
      <c r="S82" s="350">
        <f t="shared" si="7"/>
        <v>0</v>
      </c>
      <c r="T82" s="350">
        <f t="shared" si="8"/>
        <v>742.35004784629336</v>
      </c>
    </row>
    <row r="83" spans="1:20" outlineLevel="3">
      <c r="A83" s="429">
        <v>47</v>
      </c>
      <c r="B83" s="429" t="s">
        <v>306</v>
      </c>
      <c r="C83" s="429" t="s">
        <v>356</v>
      </c>
      <c r="D83" s="430">
        <v>8734</v>
      </c>
      <c r="E83" s="429">
        <v>0.109</v>
      </c>
      <c r="F83" s="432"/>
      <c r="G83" s="433">
        <f t="shared" ref="G83:G146" si="11">+$D$6*E83/$E$14</f>
        <v>45108.019823008879</v>
      </c>
      <c r="H83" s="434">
        <f t="shared" ref="H83:H146" si="12">+G83/$G$14</f>
        <v>5.4497275136243164E-3</v>
      </c>
      <c r="I83" s="433">
        <f t="shared" ref="I83:I146" si="13">+$D$10/$D$14*D83</f>
        <v>2177.9258709739761</v>
      </c>
      <c r="J83" s="433">
        <f t="shared" ref="J83:J146" si="14">+I83*25%</f>
        <v>544.48146774349402</v>
      </c>
      <c r="K83" s="433">
        <f t="shared" ref="K83:K146" si="15">+I83-J83</f>
        <v>1633.4444032304821</v>
      </c>
      <c r="L83" s="433">
        <f t="shared" ref="L83:L146" si="16">+$D$10*$E83/100</f>
        <v>436</v>
      </c>
      <c r="M83" s="435"/>
      <c r="N83" s="433"/>
      <c r="O83" s="436">
        <f>+VLOOKUP(C83,Pop_ISTAT!$A$10:$J$273,10,FALSE)</f>
        <v>15151</v>
      </c>
      <c r="P83" s="435"/>
      <c r="Q83" s="458">
        <f t="shared" si="10"/>
        <v>15151</v>
      </c>
      <c r="R83" s="429">
        <v>65</v>
      </c>
      <c r="S83" s="350">
        <f t="shared" si="7"/>
        <v>0</v>
      </c>
      <c r="T83" s="350">
        <f t="shared" si="8"/>
        <v>2177.9258709739761</v>
      </c>
    </row>
    <row r="84" spans="1:20" outlineLevel="3">
      <c r="A84" s="429">
        <v>82</v>
      </c>
      <c r="B84" s="429" t="s">
        <v>307</v>
      </c>
      <c r="C84" s="429" t="s">
        <v>392</v>
      </c>
      <c r="D84" s="430">
        <v>6040</v>
      </c>
      <c r="E84" s="429">
        <v>7.4999999999999997E-2</v>
      </c>
      <c r="F84" s="432"/>
      <c r="G84" s="433">
        <f t="shared" si="11"/>
        <v>31037.628318584088</v>
      </c>
      <c r="H84" s="434">
        <f t="shared" si="12"/>
        <v>3.749812509374529E-3</v>
      </c>
      <c r="I84" s="433">
        <f t="shared" si="13"/>
        <v>1506.1452096041694</v>
      </c>
      <c r="J84" s="433">
        <f t="shared" si="14"/>
        <v>376.53630240104235</v>
      </c>
      <c r="K84" s="433">
        <f t="shared" si="15"/>
        <v>1129.608907203127</v>
      </c>
      <c r="L84" s="433">
        <f t="shared" si="16"/>
        <v>300</v>
      </c>
      <c r="M84" s="435"/>
      <c r="N84" s="433"/>
      <c r="O84" s="436">
        <f>+VLOOKUP(C84,Pop_ISTAT!$A$10:$J$273,10,FALSE)</f>
        <v>15119</v>
      </c>
      <c r="P84" s="435"/>
      <c r="Q84" s="458">
        <f t="shared" si="10"/>
        <v>15119</v>
      </c>
      <c r="R84" s="429">
        <v>66</v>
      </c>
      <c r="S84" s="350">
        <f t="shared" ref="S84:S147" si="17">+IF(P84="",0,I84)</f>
        <v>0</v>
      </c>
      <c r="T84" s="350">
        <f t="shared" ref="T84:T147" si="18">+IF(Q84="",0,I84)</f>
        <v>1506.1452096041694</v>
      </c>
    </row>
    <row r="85" spans="1:20" outlineLevel="3">
      <c r="A85" s="429">
        <v>156</v>
      </c>
      <c r="B85" s="429" t="s">
        <v>306</v>
      </c>
      <c r="C85" s="429" t="s">
        <v>466</v>
      </c>
      <c r="D85" s="430">
        <v>3436</v>
      </c>
      <c r="E85" s="429">
        <v>4.2999999999999997E-2</v>
      </c>
      <c r="F85" s="432"/>
      <c r="G85" s="433">
        <f t="shared" si="11"/>
        <v>17794.906902654875</v>
      </c>
      <c r="H85" s="434">
        <f t="shared" si="12"/>
        <v>2.1498925053747299E-3</v>
      </c>
      <c r="I85" s="433">
        <f t="shared" si="13"/>
        <v>856.80710930462351</v>
      </c>
      <c r="J85" s="433">
        <f t="shared" si="14"/>
        <v>214.20177732615588</v>
      </c>
      <c r="K85" s="433">
        <f t="shared" si="15"/>
        <v>642.60533197846758</v>
      </c>
      <c r="L85" s="433">
        <f t="shared" si="16"/>
        <v>172</v>
      </c>
      <c r="M85" s="435"/>
      <c r="N85" s="433"/>
      <c r="O85" s="436">
        <f>+VLOOKUP(C85,Pop_ISTAT!$A$10:$J$273,10,FALSE)</f>
        <v>15032</v>
      </c>
      <c r="P85" s="435"/>
      <c r="Q85" s="458">
        <f t="shared" si="10"/>
        <v>15032</v>
      </c>
      <c r="R85" s="429">
        <v>67</v>
      </c>
      <c r="S85" s="350">
        <f t="shared" si="17"/>
        <v>0</v>
      </c>
      <c r="T85" s="350">
        <f t="shared" si="18"/>
        <v>856.80710930462351</v>
      </c>
    </row>
    <row r="86" spans="1:20" outlineLevel="3">
      <c r="A86" s="429">
        <v>39</v>
      </c>
      <c r="B86" s="429" t="s">
        <v>311</v>
      </c>
      <c r="C86" s="429" t="s">
        <v>348</v>
      </c>
      <c r="D86" s="430">
        <v>9869</v>
      </c>
      <c r="E86" s="429">
        <v>0.123</v>
      </c>
      <c r="F86" s="432"/>
      <c r="G86" s="433">
        <f t="shared" si="11"/>
        <v>50901.710442477903</v>
      </c>
      <c r="H86" s="434">
        <f t="shared" si="12"/>
        <v>6.1496925153742277E-3</v>
      </c>
      <c r="I86" s="433">
        <f t="shared" si="13"/>
        <v>2460.9515022489318</v>
      </c>
      <c r="J86" s="433">
        <f t="shared" si="14"/>
        <v>615.23787556223294</v>
      </c>
      <c r="K86" s="433">
        <f t="shared" si="15"/>
        <v>1845.7136266866987</v>
      </c>
      <c r="L86" s="433">
        <f t="shared" si="16"/>
        <v>492</v>
      </c>
      <c r="M86" s="435"/>
      <c r="N86" s="433"/>
      <c r="O86" s="436">
        <f>+VLOOKUP(C86,Pop_ISTAT!$A$10:$J$273,10,FALSE)</f>
        <v>14813</v>
      </c>
      <c r="P86" s="435"/>
      <c r="Q86" s="458">
        <f t="shared" si="10"/>
        <v>14813</v>
      </c>
      <c r="R86" s="429">
        <v>68</v>
      </c>
      <c r="S86" s="350">
        <f t="shared" si="17"/>
        <v>0</v>
      </c>
      <c r="T86" s="350">
        <f t="shared" si="18"/>
        <v>2460.9515022489318</v>
      </c>
    </row>
    <row r="87" spans="1:20" outlineLevel="3">
      <c r="A87" s="429">
        <v>20</v>
      </c>
      <c r="B87" s="429" t="s">
        <v>307</v>
      </c>
      <c r="C87" s="429" t="s">
        <v>329</v>
      </c>
      <c r="D87" s="430">
        <v>13446</v>
      </c>
      <c r="E87" s="429">
        <v>0.16800000000000001</v>
      </c>
      <c r="F87" s="432"/>
      <c r="G87" s="433">
        <f t="shared" si="11"/>
        <v>69524.287433628357</v>
      </c>
      <c r="H87" s="434">
        <f t="shared" si="12"/>
        <v>8.3995800209989459E-3</v>
      </c>
      <c r="I87" s="433">
        <f t="shared" si="13"/>
        <v>3352.9186238969637</v>
      </c>
      <c r="J87" s="433">
        <f t="shared" si="14"/>
        <v>838.22965597424093</v>
      </c>
      <c r="K87" s="433">
        <f t="shared" si="15"/>
        <v>2514.6889679227229</v>
      </c>
      <c r="L87" s="433">
        <f t="shared" si="16"/>
        <v>672</v>
      </c>
      <c r="M87" s="435"/>
      <c r="N87" s="433"/>
      <c r="O87" s="436">
        <f>+VLOOKUP(C87,Pop_ISTAT!$A$10:$J$273,10,FALSE)</f>
        <v>14704</v>
      </c>
      <c r="P87" s="435"/>
      <c r="Q87" s="458">
        <f t="shared" si="10"/>
        <v>14704</v>
      </c>
      <c r="R87" s="429">
        <v>69</v>
      </c>
      <c r="S87" s="350">
        <f t="shared" si="17"/>
        <v>0</v>
      </c>
      <c r="T87" s="350">
        <f t="shared" si="18"/>
        <v>3352.9186238969637</v>
      </c>
    </row>
    <row r="88" spans="1:20" outlineLevel="3">
      <c r="A88" s="429">
        <v>97</v>
      </c>
      <c r="B88" s="429" t="s">
        <v>311</v>
      </c>
      <c r="C88" s="429" t="s">
        <v>407</v>
      </c>
      <c r="D88" s="430">
        <v>5566</v>
      </c>
      <c r="E88" s="429">
        <v>6.9000000000000006E-2</v>
      </c>
      <c r="F88" s="432"/>
      <c r="G88" s="433">
        <f t="shared" si="11"/>
        <v>28554.618053097362</v>
      </c>
      <c r="H88" s="434">
        <f t="shared" si="12"/>
        <v>3.4498275086245669E-3</v>
      </c>
      <c r="I88" s="433">
        <f t="shared" si="13"/>
        <v>1387.9477213007958</v>
      </c>
      <c r="J88" s="433">
        <f t="shared" si="14"/>
        <v>346.98693032519895</v>
      </c>
      <c r="K88" s="433">
        <f t="shared" si="15"/>
        <v>1040.9607909755969</v>
      </c>
      <c r="L88" s="433">
        <f t="shared" si="16"/>
        <v>276.00000000000006</v>
      </c>
      <c r="M88" s="435"/>
      <c r="N88" s="433"/>
      <c r="O88" s="436">
        <f>+VLOOKUP(C88,Pop_ISTAT!$A$10:$J$273,10,FALSE)</f>
        <v>14520</v>
      </c>
      <c r="P88" s="435"/>
      <c r="Q88" s="458">
        <f t="shared" si="10"/>
        <v>14520</v>
      </c>
      <c r="R88" s="429">
        <v>70</v>
      </c>
      <c r="S88" s="350">
        <f t="shared" si="17"/>
        <v>0</v>
      </c>
      <c r="T88" s="350">
        <f t="shared" si="18"/>
        <v>1387.9477213007958</v>
      </c>
    </row>
    <row r="89" spans="1:20" outlineLevel="3">
      <c r="A89" s="429">
        <v>70</v>
      </c>
      <c r="B89" s="429" t="s">
        <v>315</v>
      </c>
      <c r="C89" s="429" t="s">
        <v>380</v>
      </c>
      <c r="D89" s="430">
        <v>6764</v>
      </c>
      <c r="E89" s="429">
        <v>8.4000000000000005E-2</v>
      </c>
      <c r="F89" s="432"/>
      <c r="G89" s="433">
        <f t="shared" si="11"/>
        <v>34762.143716814178</v>
      </c>
      <c r="H89" s="434">
        <f t="shared" si="12"/>
        <v>4.1997900104994729E-3</v>
      </c>
      <c r="I89" s="433">
        <f t="shared" si="13"/>
        <v>1686.683145324934</v>
      </c>
      <c r="J89" s="433">
        <f t="shared" si="14"/>
        <v>421.6707863312335</v>
      </c>
      <c r="K89" s="433">
        <f t="shared" si="15"/>
        <v>1265.0123589937004</v>
      </c>
      <c r="L89" s="433">
        <f t="shared" si="16"/>
        <v>336</v>
      </c>
      <c r="M89" s="435"/>
      <c r="N89" s="433"/>
      <c r="O89" s="436">
        <f>+VLOOKUP(C89,Pop_ISTAT!$A$10:$J$273,10,FALSE)</f>
        <v>14358</v>
      </c>
      <c r="P89" s="435"/>
      <c r="Q89" s="458">
        <f t="shared" si="10"/>
        <v>14358</v>
      </c>
      <c r="R89" s="429">
        <v>71</v>
      </c>
      <c r="S89" s="350">
        <f t="shared" si="17"/>
        <v>0</v>
      </c>
      <c r="T89" s="350">
        <f t="shared" si="18"/>
        <v>1686.683145324934</v>
      </c>
    </row>
    <row r="90" spans="1:20" outlineLevel="3">
      <c r="A90" s="429">
        <v>115</v>
      </c>
      <c r="B90" s="429" t="s">
        <v>307</v>
      </c>
      <c r="C90" s="429" t="s">
        <v>425</v>
      </c>
      <c r="D90" s="430">
        <v>4914</v>
      </c>
      <c r="E90" s="429">
        <v>6.0999999999999999E-2</v>
      </c>
      <c r="F90" s="432"/>
      <c r="G90" s="433">
        <f t="shared" si="11"/>
        <v>25243.93769911506</v>
      </c>
      <c r="H90" s="434">
        <f t="shared" si="12"/>
        <v>3.0498475076246173E-3</v>
      </c>
      <c r="I90" s="433">
        <f t="shared" si="13"/>
        <v>1225.3638344362398</v>
      </c>
      <c r="J90" s="433">
        <f t="shared" si="14"/>
        <v>306.34095860905995</v>
      </c>
      <c r="K90" s="433">
        <f t="shared" si="15"/>
        <v>919.02287582717986</v>
      </c>
      <c r="L90" s="433">
        <f t="shared" si="16"/>
        <v>244</v>
      </c>
      <c r="M90" s="435"/>
      <c r="N90" s="433"/>
      <c r="O90" s="436">
        <f>+VLOOKUP(C90,Pop_ISTAT!$A$10:$J$273,10,FALSE)</f>
        <v>13969</v>
      </c>
      <c r="P90" s="435"/>
      <c r="Q90" s="458">
        <f t="shared" si="10"/>
        <v>13969</v>
      </c>
      <c r="R90" s="429">
        <v>72</v>
      </c>
      <c r="S90" s="350">
        <f t="shared" si="17"/>
        <v>0</v>
      </c>
      <c r="T90" s="350">
        <f t="shared" si="18"/>
        <v>1225.3638344362398</v>
      </c>
    </row>
    <row r="91" spans="1:20" outlineLevel="3">
      <c r="A91" s="429">
        <v>105</v>
      </c>
      <c r="B91" s="429" t="s">
        <v>313</v>
      </c>
      <c r="C91" s="429" t="s">
        <v>415</v>
      </c>
      <c r="D91" s="430">
        <v>5287</v>
      </c>
      <c r="E91" s="429">
        <v>6.6000000000000003E-2</v>
      </c>
      <c r="F91" s="432"/>
      <c r="G91" s="433">
        <f t="shared" si="11"/>
        <v>27313.112920354</v>
      </c>
      <c r="H91" s="434">
        <f t="shared" si="12"/>
        <v>3.299835008249586E-3</v>
      </c>
      <c r="I91" s="433">
        <f t="shared" si="13"/>
        <v>1318.3757819829873</v>
      </c>
      <c r="J91" s="433">
        <f t="shared" si="14"/>
        <v>329.59394549574682</v>
      </c>
      <c r="K91" s="433">
        <f t="shared" si="15"/>
        <v>988.78183648724053</v>
      </c>
      <c r="L91" s="433">
        <f t="shared" si="16"/>
        <v>264</v>
      </c>
      <c r="M91" s="435"/>
      <c r="N91" s="433"/>
      <c r="O91" s="436">
        <f>+VLOOKUP(C91,Pop_ISTAT!$A$10:$J$273,10,FALSE)</f>
        <v>13910</v>
      </c>
      <c r="P91" s="435"/>
      <c r="Q91" s="458">
        <f t="shared" si="10"/>
        <v>13910</v>
      </c>
      <c r="R91" s="429">
        <v>73</v>
      </c>
      <c r="S91" s="350">
        <f t="shared" si="17"/>
        <v>0</v>
      </c>
      <c r="T91" s="350">
        <f t="shared" si="18"/>
        <v>1318.3757819829873</v>
      </c>
    </row>
    <row r="92" spans="1:20" outlineLevel="3">
      <c r="A92" s="429">
        <v>112</v>
      </c>
      <c r="B92" s="429" t="s">
        <v>306</v>
      </c>
      <c r="C92" s="429" t="s">
        <v>422</v>
      </c>
      <c r="D92" s="430">
        <v>5018</v>
      </c>
      <c r="E92" s="429">
        <v>6.3E-2</v>
      </c>
      <c r="F92" s="432"/>
      <c r="G92" s="433">
        <f t="shared" si="11"/>
        <v>26071.607787610632</v>
      </c>
      <c r="H92" s="434">
        <f t="shared" si="12"/>
        <v>3.1498425078746043E-3</v>
      </c>
      <c r="I92" s="433">
        <f t="shared" si="13"/>
        <v>1251.2974605618745</v>
      </c>
      <c r="J92" s="433">
        <f t="shared" si="14"/>
        <v>312.82436514046861</v>
      </c>
      <c r="K92" s="433">
        <f t="shared" si="15"/>
        <v>938.47309542140579</v>
      </c>
      <c r="L92" s="433">
        <f t="shared" si="16"/>
        <v>252</v>
      </c>
      <c r="M92" s="435"/>
      <c r="N92" s="433"/>
      <c r="O92" s="436">
        <f>+VLOOKUP(C92,Pop_ISTAT!$A$10:$J$273,10,FALSE)</f>
        <v>13833</v>
      </c>
      <c r="P92" s="435"/>
      <c r="Q92" s="458">
        <f t="shared" si="10"/>
        <v>13833</v>
      </c>
      <c r="R92" s="429">
        <v>74</v>
      </c>
      <c r="S92" s="350">
        <f t="shared" si="17"/>
        <v>0</v>
      </c>
      <c r="T92" s="350">
        <f t="shared" si="18"/>
        <v>1251.2974605618745</v>
      </c>
    </row>
    <row r="93" spans="1:20" outlineLevel="3">
      <c r="A93" s="429">
        <v>87</v>
      </c>
      <c r="B93" s="429" t="s">
        <v>311</v>
      </c>
      <c r="C93" s="429" t="s">
        <v>397</v>
      </c>
      <c r="D93" s="430">
        <v>5950</v>
      </c>
      <c r="E93" s="429">
        <v>7.3999999999999996E-2</v>
      </c>
      <c r="F93" s="432"/>
      <c r="G93" s="433">
        <f t="shared" si="11"/>
        <v>30623.793274336298</v>
      </c>
      <c r="H93" s="434">
        <f t="shared" si="12"/>
        <v>3.6998150092495351E-3</v>
      </c>
      <c r="I93" s="433">
        <f t="shared" si="13"/>
        <v>1483.7026485339086</v>
      </c>
      <c r="J93" s="433">
        <f t="shared" si="14"/>
        <v>370.92566213347715</v>
      </c>
      <c r="K93" s="433">
        <f t="shared" si="15"/>
        <v>1112.7769864004315</v>
      </c>
      <c r="L93" s="433">
        <f t="shared" si="16"/>
        <v>296</v>
      </c>
      <c r="M93" s="435"/>
      <c r="N93" s="433"/>
      <c r="O93" s="436">
        <f>+VLOOKUP(C93,Pop_ISTAT!$A$10:$J$273,10,FALSE)</f>
        <v>13721</v>
      </c>
      <c r="P93" s="435"/>
      <c r="Q93" s="458">
        <f t="shared" si="10"/>
        <v>13721</v>
      </c>
      <c r="R93" s="429">
        <v>75</v>
      </c>
      <c r="S93" s="350">
        <f t="shared" si="17"/>
        <v>0</v>
      </c>
      <c r="T93" s="350">
        <f t="shared" si="18"/>
        <v>1483.7026485339086</v>
      </c>
    </row>
    <row r="94" spans="1:20" outlineLevel="3">
      <c r="A94" s="429">
        <v>74</v>
      </c>
      <c r="B94" s="429" t="s">
        <v>313</v>
      </c>
      <c r="C94" s="429" t="s">
        <v>384</v>
      </c>
      <c r="D94" s="430">
        <v>6621</v>
      </c>
      <c r="E94" s="429">
        <v>8.3000000000000004E-2</v>
      </c>
      <c r="F94" s="432"/>
      <c r="G94" s="433">
        <f t="shared" si="11"/>
        <v>34348.308672566396</v>
      </c>
      <c r="H94" s="434">
        <f t="shared" si="12"/>
        <v>4.1497925103744799E-3</v>
      </c>
      <c r="I94" s="433">
        <f t="shared" si="13"/>
        <v>1651.0244094021864</v>
      </c>
      <c r="J94" s="433">
        <f t="shared" si="14"/>
        <v>412.7561023505466</v>
      </c>
      <c r="K94" s="433">
        <f t="shared" si="15"/>
        <v>1238.2683070516398</v>
      </c>
      <c r="L94" s="433">
        <f t="shared" si="16"/>
        <v>332</v>
      </c>
      <c r="M94" s="435"/>
      <c r="N94" s="433"/>
      <c r="O94" s="436">
        <f>+VLOOKUP(C94,Pop_ISTAT!$A$10:$J$273,10,FALSE)</f>
        <v>13635</v>
      </c>
      <c r="P94" s="435"/>
      <c r="Q94" s="458">
        <f t="shared" si="10"/>
        <v>13635</v>
      </c>
      <c r="R94" s="429">
        <v>76</v>
      </c>
      <c r="S94" s="350">
        <f t="shared" si="17"/>
        <v>0</v>
      </c>
      <c r="T94" s="350">
        <f t="shared" si="18"/>
        <v>1651.0244094021864</v>
      </c>
    </row>
    <row r="95" spans="1:20" outlineLevel="3">
      <c r="A95" s="429">
        <v>64</v>
      </c>
      <c r="B95" s="429" t="s">
        <v>309</v>
      </c>
      <c r="C95" s="429" t="s">
        <v>374</v>
      </c>
      <c r="D95" s="430">
        <v>7145</v>
      </c>
      <c r="E95" s="429">
        <v>8.8999999999999996E-2</v>
      </c>
      <c r="F95" s="432"/>
      <c r="G95" s="433">
        <f t="shared" si="11"/>
        <v>36831.318938053111</v>
      </c>
      <c r="H95" s="434">
        <f t="shared" si="12"/>
        <v>4.4497775111244408E-3</v>
      </c>
      <c r="I95" s="433">
        <f t="shared" si="13"/>
        <v>1781.689987189038</v>
      </c>
      <c r="J95" s="433">
        <f t="shared" si="14"/>
        <v>445.4224967972595</v>
      </c>
      <c r="K95" s="433">
        <f t="shared" si="15"/>
        <v>1336.2674903917784</v>
      </c>
      <c r="L95" s="433">
        <f t="shared" si="16"/>
        <v>356</v>
      </c>
      <c r="M95" s="435"/>
      <c r="N95" s="433"/>
      <c r="O95" s="436">
        <f>+VLOOKUP(C95,Pop_ISTAT!$A$10:$J$273,10,FALSE)</f>
        <v>13413</v>
      </c>
      <c r="P95" s="435"/>
      <c r="Q95" s="458">
        <f t="shared" si="10"/>
        <v>13413</v>
      </c>
      <c r="R95" s="429">
        <v>77</v>
      </c>
      <c r="S95" s="350">
        <f t="shared" si="17"/>
        <v>0</v>
      </c>
      <c r="T95" s="350">
        <f t="shared" si="18"/>
        <v>1781.689987189038</v>
      </c>
    </row>
    <row r="96" spans="1:20" outlineLevel="3">
      <c r="A96" s="429">
        <v>81</v>
      </c>
      <c r="B96" s="429" t="s">
        <v>311</v>
      </c>
      <c r="C96" s="429" t="s">
        <v>391</v>
      </c>
      <c r="D96" s="430">
        <v>6042</v>
      </c>
      <c r="E96" s="429">
        <v>7.4999999999999997E-2</v>
      </c>
      <c r="F96" s="432"/>
      <c r="G96" s="433">
        <f t="shared" si="11"/>
        <v>31037.628318584088</v>
      </c>
      <c r="H96" s="434">
        <f t="shared" si="12"/>
        <v>3.749812509374529E-3</v>
      </c>
      <c r="I96" s="433">
        <f t="shared" si="13"/>
        <v>1506.6439331835086</v>
      </c>
      <c r="J96" s="433">
        <f t="shared" si="14"/>
        <v>376.66098329587714</v>
      </c>
      <c r="K96" s="433">
        <f t="shared" si="15"/>
        <v>1129.9829498876315</v>
      </c>
      <c r="L96" s="433">
        <f t="shared" si="16"/>
        <v>300</v>
      </c>
      <c r="M96" s="435"/>
      <c r="N96" s="433"/>
      <c r="O96" s="436">
        <f>+VLOOKUP(C96,Pop_ISTAT!$A$10:$J$273,10,FALSE)</f>
        <v>13372</v>
      </c>
      <c r="P96" s="435"/>
      <c r="Q96" s="458">
        <f t="shared" si="10"/>
        <v>13372</v>
      </c>
      <c r="R96" s="429">
        <v>78</v>
      </c>
      <c r="S96" s="350">
        <f t="shared" si="17"/>
        <v>0</v>
      </c>
      <c r="T96" s="350">
        <f t="shared" si="18"/>
        <v>1506.6439331835086</v>
      </c>
    </row>
    <row r="97" spans="1:20" outlineLevel="3" collapsed="1">
      <c r="A97" s="429">
        <v>122</v>
      </c>
      <c r="B97" s="429" t="s">
        <v>315</v>
      </c>
      <c r="C97" s="429" t="s">
        <v>432</v>
      </c>
      <c r="D97" s="430">
        <v>4464</v>
      </c>
      <c r="E97" s="429">
        <v>5.6000000000000001E-2</v>
      </c>
      <c r="F97" s="432"/>
      <c r="G97" s="433">
        <f t="shared" si="11"/>
        <v>23174.76247787612</v>
      </c>
      <c r="H97" s="434">
        <f t="shared" si="12"/>
        <v>2.7998600069996486E-3</v>
      </c>
      <c r="I97" s="433">
        <f t="shared" si="13"/>
        <v>1113.1510290849358</v>
      </c>
      <c r="J97" s="433">
        <f t="shared" si="14"/>
        <v>278.28775727123394</v>
      </c>
      <c r="K97" s="433">
        <f t="shared" si="15"/>
        <v>834.86327181370189</v>
      </c>
      <c r="L97" s="433">
        <f t="shared" si="16"/>
        <v>224</v>
      </c>
      <c r="M97" s="435"/>
      <c r="N97" s="433"/>
      <c r="O97" s="436">
        <f>+VLOOKUP(C97,Pop_ISTAT!$A$10:$J$273,10,FALSE)</f>
        <v>13358</v>
      </c>
      <c r="P97" s="435"/>
      <c r="Q97" s="458">
        <f t="shared" si="10"/>
        <v>13358</v>
      </c>
      <c r="R97" s="429">
        <v>79</v>
      </c>
      <c r="S97" s="350">
        <f t="shared" si="17"/>
        <v>0</v>
      </c>
      <c r="T97" s="350">
        <f t="shared" si="18"/>
        <v>1113.1510290849358</v>
      </c>
    </row>
    <row r="98" spans="1:20" outlineLevel="3" collapsed="1">
      <c r="A98" s="429">
        <v>66</v>
      </c>
      <c r="B98" s="429" t="s">
        <v>311</v>
      </c>
      <c r="C98" s="429" t="s">
        <v>376</v>
      </c>
      <c r="D98" s="430">
        <v>7092</v>
      </c>
      <c r="E98" s="429">
        <v>8.7999999999999995E-2</v>
      </c>
      <c r="F98" s="432"/>
      <c r="G98" s="433">
        <f t="shared" si="11"/>
        <v>36417.483893805329</v>
      </c>
      <c r="H98" s="434">
        <f t="shared" si="12"/>
        <v>4.3997800109994477E-3</v>
      </c>
      <c r="I98" s="433">
        <f t="shared" si="13"/>
        <v>1768.4738123365512</v>
      </c>
      <c r="J98" s="433">
        <f t="shared" si="14"/>
        <v>442.1184530841378</v>
      </c>
      <c r="K98" s="433">
        <f t="shared" si="15"/>
        <v>1326.3553592524133</v>
      </c>
      <c r="L98" s="433">
        <f t="shared" si="16"/>
        <v>352</v>
      </c>
      <c r="M98" s="435"/>
      <c r="N98" s="433"/>
      <c r="O98" s="436">
        <f>+VLOOKUP(C98,Pop_ISTAT!$A$10:$J$273,10,FALSE)</f>
        <v>13295</v>
      </c>
      <c r="P98" s="435"/>
      <c r="Q98" s="458">
        <f t="shared" si="10"/>
        <v>13295</v>
      </c>
      <c r="R98" s="429">
        <v>80</v>
      </c>
      <c r="S98" s="350">
        <f t="shared" si="17"/>
        <v>0</v>
      </c>
      <c r="T98" s="350">
        <f t="shared" si="18"/>
        <v>1768.4738123365512</v>
      </c>
    </row>
    <row r="99" spans="1:20" outlineLevel="3">
      <c r="A99" s="429">
        <v>85</v>
      </c>
      <c r="B99" s="429" t="s">
        <v>311</v>
      </c>
      <c r="C99" s="429" t="s">
        <v>395</v>
      </c>
      <c r="D99" s="430">
        <v>5977</v>
      </c>
      <c r="E99" s="429">
        <v>7.4999999999999997E-2</v>
      </c>
      <c r="F99" s="432"/>
      <c r="G99" s="433">
        <f t="shared" si="11"/>
        <v>31037.628318584088</v>
      </c>
      <c r="H99" s="434">
        <f t="shared" si="12"/>
        <v>3.749812509374529E-3</v>
      </c>
      <c r="I99" s="433">
        <f t="shared" si="13"/>
        <v>1490.4354168549867</v>
      </c>
      <c r="J99" s="433">
        <f t="shared" si="14"/>
        <v>372.60885421374667</v>
      </c>
      <c r="K99" s="433">
        <f t="shared" si="15"/>
        <v>1117.8265626412399</v>
      </c>
      <c r="L99" s="433">
        <f t="shared" si="16"/>
        <v>300</v>
      </c>
      <c r="M99" s="435"/>
      <c r="N99" s="433"/>
      <c r="O99" s="436">
        <f>+VLOOKUP(C99,Pop_ISTAT!$A$10:$J$273,10,FALSE)</f>
        <v>13259</v>
      </c>
      <c r="P99" s="435"/>
      <c r="Q99" s="458">
        <f t="shared" si="10"/>
        <v>13259</v>
      </c>
      <c r="R99" s="429">
        <v>81</v>
      </c>
      <c r="S99" s="350">
        <f t="shared" si="17"/>
        <v>0</v>
      </c>
      <c r="T99" s="350">
        <f t="shared" si="18"/>
        <v>1490.4354168549867</v>
      </c>
    </row>
    <row r="100" spans="1:20" outlineLevel="3">
      <c r="A100" s="429">
        <v>57</v>
      </c>
      <c r="B100" s="429" t="s">
        <v>309</v>
      </c>
      <c r="C100" s="429" t="s">
        <v>367</v>
      </c>
      <c r="D100" s="430">
        <v>7877</v>
      </c>
      <c r="E100" s="429">
        <v>9.8000000000000004E-2</v>
      </c>
      <c r="F100" s="432"/>
      <c r="G100" s="433">
        <f t="shared" si="11"/>
        <v>40555.834336283209</v>
      </c>
      <c r="H100" s="434">
        <f t="shared" si="12"/>
        <v>4.8997550122493851E-3</v>
      </c>
      <c r="I100" s="433">
        <f t="shared" si="13"/>
        <v>1964.2228172271593</v>
      </c>
      <c r="J100" s="433">
        <f t="shared" si="14"/>
        <v>491.05570430678983</v>
      </c>
      <c r="K100" s="433">
        <f t="shared" si="15"/>
        <v>1473.1671129203696</v>
      </c>
      <c r="L100" s="433">
        <f t="shared" si="16"/>
        <v>392</v>
      </c>
      <c r="M100" s="435"/>
      <c r="N100" s="433"/>
      <c r="O100" s="436">
        <f>+VLOOKUP(C100,Pop_ISTAT!$A$10:$J$273,10,FALSE)</f>
        <v>13239</v>
      </c>
      <c r="P100" s="435"/>
      <c r="Q100" s="458">
        <f>+O100</f>
        <v>13239</v>
      </c>
      <c r="R100" s="429">
        <v>82</v>
      </c>
      <c r="S100" s="350">
        <f t="shared" si="17"/>
        <v>0</v>
      </c>
      <c r="T100" s="350">
        <f t="shared" si="18"/>
        <v>1964.2228172271593</v>
      </c>
    </row>
    <row r="101" spans="1:20" outlineLevel="3">
      <c r="A101" s="429">
        <v>123</v>
      </c>
      <c r="B101" s="429" t="s">
        <v>311</v>
      </c>
      <c r="C101" s="429" t="s">
        <v>433</v>
      </c>
      <c r="D101" s="430">
        <v>4436</v>
      </c>
      <c r="E101" s="429">
        <v>5.5E-2</v>
      </c>
      <c r="F101" s="432"/>
      <c r="G101" s="433">
        <f t="shared" si="11"/>
        <v>22760.927433628331</v>
      </c>
      <c r="H101" s="434">
        <f t="shared" si="12"/>
        <v>2.7498625068746547E-3</v>
      </c>
      <c r="I101" s="433">
        <f t="shared" si="13"/>
        <v>1106.1688989741879</v>
      </c>
      <c r="J101" s="433">
        <f t="shared" si="14"/>
        <v>276.54222474354697</v>
      </c>
      <c r="K101" s="433">
        <f t="shared" si="15"/>
        <v>829.6266742306409</v>
      </c>
      <c r="L101" s="433">
        <f t="shared" si="16"/>
        <v>220</v>
      </c>
      <c r="M101" s="435"/>
      <c r="N101" s="433"/>
      <c r="O101" s="436">
        <f>+VLOOKUP(C101,Pop_ISTAT!$A$10:$J$273,10,FALSE)</f>
        <v>13200</v>
      </c>
      <c r="P101" s="435"/>
      <c r="Q101" s="458">
        <f>+O101</f>
        <v>13200</v>
      </c>
      <c r="R101" s="429">
        <v>83</v>
      </c>
      <c r="S101" s="350">
        <f t="shared" si="17"/>
        <v>0</v>
      </c>
      <c r="T101" s="350">
        <f t="shared" si="18"/>
        <v>1106.1688989741879</v>
      </c>
    </row>
    <row r="102" spans="1:20" outlineLevel="3">
      <c r="A102" s="429">
        <v>76</v>
      </c>
      <c r="B102" s="429" t="s">
        <v>311</v>
      </c>
      <c r="C102" s="429" t="s">
        <v>386</v>
      </c>
      <c r="D102" s="430">
        <v>6458</v>
      </c>
      <c r="E102" s="429">
        <v>8.1000000000000003E-2</v>
      </c>
      <c r="F102" s="432"/>
      <c r="G102" s="433">
        <f t="shared" si="11"/>
        <v>33520.638584070817</v>
      </c>
      <c r="H102" s="434">
        <f t="shared" si="12"/>
        <v>4.0497975101244921E-3</v>
      </c>
      <c r="I102" s="433">
        <f t="shared" si="13"/>
        <v>1610.3784376860474</v>
      </c>
      <c r="J102" s="433">
        <f t="shared" si="14"/>
        <v>402.59460942151185</v>
      </c>
      <c r="K102" s="433">
        <f t="shared" si="15"/>
        <v>1207.7838282645355</v>
      </c>
      <c r="L102" s="433">
        <f t="shared" si="16"/>
        <v>324</v>
      </c>
      <c r="M102" s="435"/>
      <c r="N102" s="433"/>
      <c r="O102" s="436">
        <f>+VLOOKUP(C102,Pop_ISTAT!$A$10:$J$273,10,FALSE)</f>
        <v>13105</v>
      </c>
      <c r="P102" s="435"/>
      <c r="Q102" s="458">
        <f>+O102</f>
        <v>13105</v>
      </c>
      <c r="R102" s="429">
        <v>84</v>
      </c>
      <c r="S102" s="350">
        <f t="shared" si="17"/>
        <v>0</v>
      </c>
      <c r="T102" s="350">
        <f t="shared" si="18"/>
        <v>1610.3784376860474</v>
      </c>
    </row>
    <row r="103" spans="1:20" outlineLevel="3">
      <c r="A103" s="429">
        <v>118</v>
      </c>
      <c r="B103" s="429" t="s">
        <v>311</v>
      </c>
      <c r="C103" s="429" t="s">
        <v>428</v>
      </c>
      <c r="D103" s="430">
        <v>4752</v>
      </c>
      <c r="E103" s="429">
        <v>5.8999999999999997E-2</v>
      </c>
      <c r="F103" s="432"/>
      <c r="G103" s="433">
        <f t="shared" si="11"/>
        <v>24416.267610619481</v>
      </c>
      <c r="H103" s="434">
        <f t="shared" si="12"/>
        <v>2.9498525073746295E-3</v>
      </c>
      <c r="I103" s="433">
        <f t="shared" si="13"/>
        <v>1184.9672245097704</v>
      </c>
      <c r="J103" s="433">
        <f t="shared" si="14"/>
        <v>296.2418061274426</v>
      </c>
      <c r="K103" s="433">
        <f t="shared" si="15"/>
        <v>888.7254183823278</v>
      </c>
      <c r="L103" s="433">
        <f t="shared" si="16"/>
        <v>236</v>
      </c>
      <c r="M103" s="435"/>
      <c r="N103" s="433"/>
      <c r="O103" s="436">
        <f>+VLOOKUP(C103,Pop_ISTAT!$A$10:$J$273,10,FALSE)</f>
        <v>13036</v>
      </c>
      <c r="P103" s="435"/>
      <c r="Q103" s="458">
        <f>+O103</f>
        <v>13036</v>
      </c>
      <c r="R103" s="429">
        <v>85</v>
      </c>
      <c r="S103" s="350">
        <f t="shared" si="17"/>
        <v>0</v>
      </c>
      <c r="T103" s="350">
        <f t="shared" si="18"/>
        <v>1184.9672245097704</v>
      </c>
    </row>
    <row r="104" spans="1:20" outlineLevel="3">
      <c r="A104" s="429">
        <v>69</v>
      </c>
      <c r="B104" s="429" t="s">
        <v>306</v>
      </c>
      <c r="C104" s="429" t="s">
        <v>379</v>
      </c>
      <c r="D104" s="430">
        <v>6815</v>
      </c>
      <c r="E104" s="429">
        <v>8.5000000000000006E-2</v>
      </c>
      <c r="F104" s="432"/>
      <c r="G104" s="433">
        <f t="shared" si="11"/>
        <v>35175.978761061968</v>
      </c>
      <c r="H104" s="434">
        <f t="shared" si="12"/>
        <v>4.2497875106244669E-3</v>
      </c>
      <c r="I104" s="433">
        <f t="shared" si="13"/>
        <v>1699.4005965980818</v>
      </c>
      <c r="J104" s="433">
        <f t="shared" si="14"/>
        <v>424.85014914952046</v>
      </c>
      <c r="K104" s="433">
        <f t="shared" si="15"/>
        <v>1274.5504474485615</v>
      </c>
      <c r="L104" s="433">
        <f t="shared" si="16"/>
        <v>340</v>
      </c>
      <c r="M104" s="435"/>
      <c r="N104" s="433"/>
      <c r="O104" s="436">
        <f>+VLOOKUP(C104,Pop_ISTAT!$A$10:$J$273,10,FALSE)</f>
        <v>12955</v>
      </c>
      <c r="P104" s="435"/>
      <c r="Q104" s="458">
        <f>+O104</f>
        <v>12955</v>
      </c>
      <c r="R104" s="429">
        <v>86</v>
      </c>
      <c r="S104" s="350">
        <f t="shared" si="17"/>
        <v>0</v>
      </c>
      <c r="T104" s="350">
        <f t="shared" si="18"/>
        <v>1699.4005965980818</v>
      </c>
    </row>
    <row r="105" spans="1:20" outlineLevel="3">
      <c r="A105" s="450">
        <v>79</v>
      </c>
      <c r="B105" s="450" t="s">
        <v>307</v>
      </c>
      <c r="C105" s="450" t="s">
        <v>389</v>
      </c>
      <c r="D105" s="451">
        <v>6170</v>
      </c>
      <c r="E105" s="450">
        <v>7.6999999999999999E-2</v>
      </c>
      <c r="F105" s="452"/>
      <c r="G105" s="453">
        <f t="shared" si="11"/>
        <v>31865.298407079667</v>
      </c>
      <c r="H105" s="454">
        <f t="shared" si="12"/>
        <v>3.8498075096245169E-3</v>
      </c>
      <c r="I105" s="453">
        <f t="shared" si="13"/>
        <v>1538.5622422612128</v>
      </c>
      <c r="J105" s="453">
        <f t="shared" si="14"/>
        <v>384.64056056530319</v>
      </c>
      <c r="K105" s="453">
        <f t="shared" si="15"/>
        <v>1153.9216816959097</v>
      </c>
      <c r="L105" s="453">
        <f t="shared" si="16"/>
        <v>308</v>
      </c>
      <c r="M105" s="455" t="s">
        <v>623</v>
      </c>
      <c r="N105" s="453">
        <v>10000</v>
      </c>
      <c r="O105" s="456">
        <f>+VLOOKUP(C105,Pop_ISTAT!$A$10:$J$273,10,FALSE)</f>
        <v>12936</v>
      </c>
      <c r="P105" s="457">
        <f>+O105</f>
        <v>12936</v>
      </c>
      <c r="Q105" s="455"/>
      <c r="R105" s="450">
        <v>87</v>
      </c>
      <c r="S105" s="389">
        <f t="shared" si="17"/>
        <v>1538.5622422612128</v>
      </c>
      <c r="T105" s="389">
        <f t="shared" si="18"/>
        <v>0</v>
      </c>
    </row>
    <row r="106" spans="1:20" outlineLevel="3">
      <c r="A106" s="429">
        <v>80</v>
      </c>
      <c r="B106" s="429" t="s">
        <v>315</v>
      </c>
      <c r="C106" s="429" t="s">
        <v>390</v>
      </c>
      <c r="D106" s="430">
        <v>6158</v>
      </c>
      <c r="E106" s="429">
        <v>7.6999999999999999E-2</v>
      </c>
      <c r="F106" s="432"/>
      <c r="G106" s="433">
        <f t="shared" si="11"/>
        <v>31865.298407079667</v>
      </c>
      <c r="H106" s="434">
        <f t="shared" si="12"/>
        <v>3.8498075096245169E-3</v>
      </c>
      <c r="I106" s="433">
        <f t="shared" si="13"/>
        <v>1535.5699007851779</v>
      </c>
      <c r="J106" s="433">
        <f t="shared" si="14"/>
        <v>383.89247519629447</v>
      </c>
      <c r="K106" s="433">
        <f t="shared" si="15"/>
        <v>1151.6774255888834</v>
      </c>
      <c r="L106" s="433">
        <f t="shared" si="16"/>
        <v>308</v>
      </c>
      <c r="M106" s="435"/>
      <c r="N106" s="433"/>
      <c r="O106" s="436">
        <f>+VLOOKUP(C106,Pop_ISTAT!$A$10:$J$273,10,FALSE)</f>
        <v>12904</v>
      </c>
      <c r="P106" s="435"/>
      <c r="Q106" s="458">
        <f>+O106</f>
        <v>12904</v>
      </c>
      <c r="R106" s="429">
        <v>88</v>
      </c>
      <c r="S106" s="350">
        <f t="shared" si="17"/>
        <v>0</v>
      </c>
      <c r="T106" s="350">
        <f t="shared" si="18"/>
        <v>1535.5699007851779</v>
      </c>
    </row>
    <row r="107" spans="1:20" outlineLevel="3">
      <c r="A107" s="429">
        <v>71</v>
      </c>
      <c r="B107" s="429" t="s">
        <v>307</v>
      </c>
      <c r="C107" s="429" t="s">
        <v>381</v>
      </c>
      <c r="D107" s="430">
        <v>6723</v>
      </c>
      <c r="E107" s="429">
        <v>8.4000000000000005E-2</v>
      </c>
      <c r="F107" s="432"/>
      <c r="G107" s="433">
        <f t="shared" si="11"/>
        <v>34762.143716814178</v>
      </c>
      <c r="H107" s="434">
        <f t="shared" si="12"/>
        <v>4.1997900104994729E-3</v>
      </c>
      <c r="I107" s="433">
        <f t="shared" si="13"/>
        <v>1676.4593119484819</v>
      </c>
      <c r="J107" s="433">
        <f t="shared" si="14"/>
        <v>419.11482798712046</v>
      </c>
      <c r="K107" s="433">
        <f t="shared" si="15"/>
        <v>1257.3444839613614</v>
      </c>
      <c r="L107" s="433">
        <f t="shared" si="16"/>
        <v>336</v>
      </c>
      <c r="M107" s="435"/>
      <c r="N107" s="433"/>
      <c r="O107" s="436">
        <f>+VLOOKUP(C107,Pop_ISTAT!$A$10:$J$273,10,FALSE)</f>
        <v>12606</v>
      </c>
      <c r="P107" s="435"/>
      <c r="Q107" s="458">
        <f>+O107</f>
        <v>12606</v>
      </c>
      <c r="R107" s="429">
        <v>89</v>
      </c>
      <c r="S107" s="350">
        <f t="shared" si="17"/>
        <v>0</v>
      </c>
      <c r="T107" s="350">
        <f t="shared" si="18"/>
        <v>1676.4593119484819</v>
      </c>
    </row>
    <row r="108" spans="1:20" outlineLevel="3">
      <c r="A108" s="429">
        <v>77</v>
      </c>
      <c r="B108" s="429" t="s">
        <v>309</v>
      </c>
      <c r="C108" s="429" t="s">
        <v>387</v>
      </c>
      <c r="D108" s="430">
        <v>6365</v>
      </c>
      <c r="E108" s="429">
        <v>7.9000000000000001E-2</v>
      </c>
      <c r="F108" s="432"/>
      <c r="G108" s="433">
        <f t="shared" si="11"/>
        <v>32692.968495575242</v>
      </c>
      <c r="H108" s="434">
        <f t="shared" si="12"/>
        <v>3.9498025098745042E-3</v>
      </c>
      <c r="I108" s="433">
        <f t="shared" si="13"/>
        <v>1587.1877912467778</v>
      </c>
      <c r="J108" s="433">
        <f t="shared" si="14"/>
        <v>396.79694781169445</v>
      </c>
      <c r="K108" s="433">
        <f t="shared" si="15"/>
        <v>1190.3908434350833</v>
      </c>
      <c r="L108" s="433">
        <f t="shared" si="16"/>
        <v>316</v>
      </c>
      <c r="M108" s="435"/>
      <c r="N108" s="433"/>
      <c r="O108" s="436">
        <f>+VLOOKUP(C108,Pop_ISTAT!$A$10:$J$273,10,FALSE)</f>
        <v>12470</v>
      </c>
      <c r="P108" s="435"/>
      <c r="Q108" s="458">
        <f>+O108</f>
        <v>12470</v>
      </c>
      <c r="R108" s="429">
        <v>90</v>
      </c>
      <c r="S108" s="350">
        <f t="shared" si="17"/>
        <v>0</v>
      </c>
      <c r="T108" s="350">
        <f t="shared" si="18"/>
        <v>1587.1877912467778</v>
      </c>
    </row>
    <row r="109" spans="1:20" outlineLevel="3">
      <c r="A109" s="450">
        <v>99</v>
      </c>
      <c r="B109" s="450" t="s">
        <v>309</v>
      </c>
      <c r="C109" s="450" t="s">
        <v>409</v>
      </c>
      <c r="D109" s="451">
        <v>5511</v>
      </c>
      <c r="E109" s="450">
        <v>6.9000000000000006E-2</v>
      </c>
      <c r="F109" s="452"/>
      <c r="G109" s="453">
        <f t="shared" si="11"/>
        <v>28554.618053097362</v>
      </c>
      <c r="H109" s="454">
        <f t="shared" si="12"/>
        <v>3.4498275086245669E-3</v>
      </c>
      <c r="I109" s="453">
        <f t="shared" si="13"/>
        <v>1374.2328228689698</v>
      </c>
      <c r="J109" s="453">
        <f t="shared" si="14"/>
        <v>343.55820571724246</v>
      </c>
      <c r="K109" s="453">
        <f t="shared" si="15"/>
        <v>1030.6746171517275</v>
      </c>
      <c r="L109" s="453">
        <f t="shared" si="16"/>
        <v>276.00000000000006</v>
      </c>
      <c r="M109" s="455" t="s">
        <v>623</v>
      </c>
      <c r="N109" s="453">
        <v>10000</v>
      </c>
      <c r="O109" s="456">
        <f>+VLOOKUP(C109,Pop_ISTAT!$A$10:$J$273,10,FALSE)</f>
        <v>12335</v>
      </c>
      <c r="P109" s="457">
        <f>+O109</f>
        <v>12335</v>
      </c>
      <c r="Q109" s="455"/>
      <c r="R109" s="450">
        <v>91</v>
      </c>
      <c r="S109" s="389">
        <f t="shared" si="17"/>
        <v>1374.2328228689698</v>
      </c>
      <c r="T109" s="389">
        <f t="shared" si="18"/>
        <v>0</v>
      </c>
    </row>
    <row r="110" spans="1:20" outlineLevel="3">
      <c r="A110" s="439">
        <v>132</v>
      </c>
      <c r="B110" s="439" t="s">
        <v>306</v>
      </c>
      <c r="C110" s="439" t="s">
        <v>442</v>
      </c>
      <c r="D110" s="440">
        <v>4200</v>
      </c>
      <c r="E110" s="439">
        <v>5.1999999999999998E-2</v>
      </c>
      <c r="F110" s="441" t="s">
        <v>619</v>
      </c>
      <c r="G110" s="442">
        <f t="shared" si="11"/>
        <v>21519.422300884966</v>
      </c>
      <c r="H110" s="443">
        <f t="shared" si="12"/>
        <v>2.5998700064996734E-3</v>
      </c>
      <c r="I110" s="442">
        <f t="shared" si="13"/>
        <v>1047.3195166121707</v>
      </c>
      <c r="J110" s="442">
        <f t="shared" si="14"/>
        <v>261.82987915304267</v>
      </c>
      <c r="K110" s="442">
        <f t="shared" si="15"/>
        <v>785.48963745912806</v>
      </c>
      <c r="L110" s="442">
        <f t="shared" si="16"/>
        <v>208</v>
      </c>
      <c r="M110" s="444"/>
      <c r="N110" s="442"/>
      <c r="O110" s="445">
        <f>+VLOOKUP(C110,Pop_ISTAT!$A$10:$J$273,10,FALSE)</f>
        <v>12040</v>
      </c>
      <c r="P110" s="444"/>
      <c r="Q110" s="446">
        <f>+O110</f>
        <v>12040</v>
      </c>
      <c r="R110" s="439">
        <v>92</v>
      </c>
      <c r="S110" s="380">
        <f t="shared" si="17"/>
        <v>0</v>
      </c>
      <c r="T110" s="380">
        <f t="shared" si="18"/>
        <v>1047.3195166121707</v>
      </c>
    </row>
    <row r="111" spans="1:20" outlineLevel="3">
      <c r="A111" s="429">
        <v>25</v>
      </c>
      <c r="B111" s="429" t="s">
        <v>311</v>
      </c>
      <c r="C111" s="429" t="s">
        <v>334</v>
      </c>
      <c r="D111" s="430">
        <v>11478</v>
      </c>
      <c r="E111" s="429">
        <v>0.14299999999999999</v>
      </c>
      <c r="F111" s="432"/>
      <c r="G111" s="433">
        <f t="shared" si="11"/>
        <v>59178.411327433656</v>
      </c>
      <c r="H111" s="434">
        <f t="shared" si="12"/>
        <v>7.1496425178741016E-3</v>
      </c>
      <c r="I111" s="433">
        <f t="shared" si="13"/>
        <v>2862.174621827261</v>
      </c>
      <c r="J111" s="433">
        <f t="shared" si="14"/>
        <v>715.54365545681526</v>
      </c>
      <c r="K111" s="433">
        <f t="shared" si="15"/>
        <v>2146.630966370446</v>
      </c>
      <c r="L111" s="433">
        <f t="shared" si="16"/>
        <v>571.99999999999989</v>
      </c>
      <c r="M111" s="435"/>
      <c r="N111" s="433"/>
      <c r="O111" s="436">
        <f>+VLOOKUP(C111,Pop_ISTAT!$A$10:$J$273,10,FALSE)</f>
        <v>11899</v>
      </c>
      <c r="P111" s="435"/>
      <c r="Q111" s="458">
        <f t="shared" ref="Q111:Q122" si="19">+O111</f>
        <v>11899</v>
      </c>
      <c r="R111" s="429">
        <v>93</v>
      </c>
      <c r="S111" s="350">
        <f t="shared" si="17"/>
        <v>0</v>
      </c>
      <c r="T111" s="350">
        <f t="shared" si="18"/>
        <v>2862.174621827261</v>
      </c>
    </row>
    <row r="112" spans="1:20" outlineLevel="3">
      <c r="A112" s="429">
        <v>138</v>
      </c>
      <c r="B112" s="429" t="s">
        <v>311</v>
      </c>
      <c r="C112" s="429" t="s">
        <v>448</v>
      </c>
      <c r="D112" s="430">
        <v>3891</v>
      </c>
      <c r="E112" s="429">
        <v>4.9000000000000002E-2</v>
      </c>
      <c r="F112" s="432"/>
      <c r="G112" s="433">
        <f t="shared" si="11"/>
        <v>20277.917168141605</v>
      </c>
      <c r="H112" s="434">
        <f t="shared" si="12"/>
        <v>2.4498775061246925E-3</v>
      </c>
      <c r="I112" s="433">
        <f t="shared" si="13"/>
        <v>970.26672360427528</v>
      </c>
      <c r="J112" s="433">
        <f t="shared" si="14"/>
        <v>242.56668090106882</v>
      </c>
      <c r="K112" s="433">
        <f t="shared" si="15"/>
        <v>727.70004270320646</v>
      </c>
      <c r="L112" s="433">
        <f t="shared" si="16"/>
        <v>196</v>
      </c>
      <c r="M112" s="435"/>
      <c r="N112" s="433"/>
      <c r="O112" s="436">
        <f>+VLOOKUP(C112,Pop_ISTAT!$A$10:$J$273,10,FALSE)</f>
        <v>11814</v>
      </c>
      <c r="P112" s="435"/>
      <c r="Q112" s="458">
        <f t="shared" si="19"/>
        <v>11814</v>
      </c>
      <c r="R112" s="429">
        <v>94</v>
      </c>
      <c r="S112" s="350">
        <f t="shared" si="17"/>
        <v>0</v>
      </c>
      <c r="T112" s="350">
        <f t="shared" si="18"/>
        <v>970.26672360427528</v>
      </c>
    </row>
    <row r="113" spans="1:20" outlineLevel="3">
      <c r="A113" s="429">
        <v>152</v>
      </c>
      <c r="B113" s="429" t="s">
        <v>306</v>
      </c>
      <c r="C113" s="429" t="s">
        <v>462</v>
      </c>
      <c r="D113" s="430">
        <v>3609</v>
      </c>
      <c r="E113" s="429">
        <v>4.4999999999999998E-2</v>
      </c>
      <c r="F113" s="432"/>
      <c r="G113" s="433">
        <f t="shared" si="11"/>
        <v>18622.576991150454</v>
      </c>
      <c r="H113" s="434">
        <f t="shared" si="12"/>
        <v>2.2498875056247178E-3</v>
      </c>
      <c r="I113" s="433">
        <f t="shared" si="13"/>
        <v>899.94669891745809</v>
      </c>
      <c r="J113" s="433">
        <f t="shared" si="14"/>
        <v>224.98667472936452</v>
      </c>
      <c r="K113" s="433">
        <f t="shared" si="15"/>
        <v>674.9600241880936</v>
      </c>
      <c r="L113" s="433">
        <f t="shared" si="16"/>
        <v>180</v>
      </c>
      <c r="M113" s="435"/>
      <c r="N113" s="433"/>
      <c r="O113" s="436">
        <f>+VLOOKUP(C113,Pop_ISTAT!$A$10:$J$273,10,FALSE)</f>
        <v>11728</v>
      </c>
      <c r="P113" s="435"/>
      <c r="Q113" s="458">
        <f t="shared" si="19"/>
        <v>11728</v>
      </c>
      <c r="R113" s="429">
        <v>95</v>
      </c>
      <c r="S113" s="350">
        <f t="shared" si="17"/>
        <v>0</v>
      </c>
      <c r="T113" s="350">
        <f t="shared" si="18"/>
        <v>899.94669891745809</v>
      </c>
    </row>
    <row r="114" spans="1:20" outlineLevel="3">
      <c r="A114" s="429">
        <v>68</v>
      </c>
      <c r="B114" s="429" t="s">
        <v>311</v>
      </c>
      <c r="C114" s="429" t="s">
        <v>378</v>
      </c>
      <c r="D114" s="430">
        <v>6938</v>
      </c>
      <c r="E114" s="429">
        <v>8.6999999999999994E-2</v>
      </c>
      <c r="F114" s="432"/>
      <c r="G114" s="433">
        <f t="shared" si="11"/>
        <v>36003.64884955754</v>
      </c>
      <c r="H114" s="434">
        <f t="shared" si="12"/>
        <v>4.3497825108744538E-3</v>
      </c>
      <c r="I114" s="433">
        <f t="shared" si="13"/>
        <v>1730.0720967274383</v>
      </c>
      <c r="J114" s="433">
        <f t="shared" si="14"/>
        <v>432.51802418185957</v>
      </c>
      <c r="K114" s="433">
        <f t="shared" si="15"/>
        <v>1297.5540725455787</v>
      </c>
      <c r="L114" s="433">
        <f t="shared" si="16"/>
        <v>348</v>
      </c>
      <c r="M114" s="435"/>
      <c r="N114" s="433"/>
      <c r="O114" s="436">
        <f>+VLOOKUP(C114,Pop_ISTAT!$A$10:$J$273,10,FALSE)</f>
        <v>11643</v>
      </c>
      <c r="P114" s="435"/>
      <c r="Q114" s="458">
        <f t="shared" si="19"/>
        <v>11643</v>
      </c>
      <c r="R114" s="429">
        <v>96</v>
      </c>
      <c r="S114" s="350">
        <f t="shared" si="17"/>
        <v>0</v>
      </c>
      <c r="T114" s="350">
        <f t="shared" si="18"/>
        <v>1730.0720967274383</v>
      </c>
    </row>
    <row r="115" spans="1:20" outlineLevel="3">
      <c r="A115" s="429">
        <v>160</v>
      </c>
      <c r="B115" s="429" t="s">
        <v>306</v>
      </c>
      <c r="C115" s="429" t="s">
        <v>470</v>
      </c>
      <c r="D115" s="430">
        <v>3329</v>
      </c>
      <c r="E115" s="429">
        <v>4.2000000000000003E-2</v>
      </c>
      <c r="F115" s="432"/>
      <c r="G115" s="433">
        <f t="shared" si="11"/>
        <v>17381.071858407089</v>
      </c>
      <c r="H115" s="434">
        <f t="shared" si="12"/>
        <v>2.0998950052497365E-3</v>
      </c>
      <c r="I115" s="433">
        <f t="shared" si="13"/>
        <v>830.12539780998009</v>
      </c>
      <c r="J115" s="433">
        <f t="shared" si="14"/>
        <v>207.53134945249502</v>
      </c>
      <c r="K115" s="433">
        <f t="shared" si="15"/>
        <v>622.59404835748501</v>
      </c>
      <c r="L115" s="433">
        <f t="shared" si="16"/>
        <v>168</v>
      </c>
      <c r="M115" s="435"/>
      <c r="N115" s="433"/>
      <c r="O115" s="436">
        <f>+VLOOKUP(C115,Pop_ISTAT!$A$10:$J$273,10,FALSE)</f>
        <v>11399</v>
      </c>
      <c r="P115" s="435"/>
      <c r="Q115" s="458">
        <f t="shared" si="19"/>
        <v>11399</v>
      </c>
      <c r="R115" s="429">
        <v>97</v>
      </c>
      <c r="S115" s="350">
        <f t="shared" si="17"/>
        <v>0</v>
      </c>
      <c r="T115" s="350">
        <f t="shared" si="18"/>
        <v>830.12539780998009</v>
      </c>
    </row>
    <row r="116" spans="1:20" outlineLevel="3">
      <c r="A116" s="429">
        <v>91</v>
      </c>
      <c r="B116" s="429" t="s">
        <v>311</v>
      </c>
      <c r="C116" s="429" t="s">
        <v>401</v>
      </c>
      <c r="D116" s="430">
        <v>5734</v>
      </c>
      <c r="E116" s="429">
        <v>7.0999999999999994E-2</v>
      </c>
      <c r="F116" s="432"/>
      <c r="G116" s="433">
        <f t="shared" si="11"/>
        <v>29382.288141592933</v>
      </c>
      <c r="H116" s="434">
        <f t="shared" si="12"/>
        <v>3.5498225088745538E-3</v>
      </c>
      <c r="I116" s="433">
        <f t="shared" si="13"/>
        <v>1429.8405019652826</v>
      </c>
      <c r="J116" s="433">
        <f t="shared" si="14"/>
        <v>357.46012549132064</v>
      </c>
      <c r="K116" s="433">
        <f t="shared" si="15"/>
        <v>1072.3803764739619</v>
      </c>
      <c r="L116" s="433">
        <f t="shared" si="16"/>
        <v>283.99999999999994</v>
      </c>
      <c r="M116" s="435"/>
      <c r="N116" s="433"/>
      <c r="O116" s="436">
        <f>+VLOOKUP(C116,Pop_ISTAT!$A$10:$J$273,10,FALSE)</f>
        <v>11376</v>
      </c>
      <c r="P116" s="435"/>
      <c r="Q116" s="458">
        <f t="shared" si="19"/>
        <v>11376</v>
      </c>
      <c r="R116" s="429">
        <v>98</v>
      </c>
      <c r="S116" s="350">
        <f t="shared" si="17"/>
        <v>0</v>
      </c>
      <c r="T116" s="350">
        <f t="shared" si="18"/>
        <v>1429.8405019652826</v>
      </c>
    </row>
    <row r="117" spans="1:20" outlineLevel="3">
      <c r="A117" s="429">
        <v>100</v>
      </c>
      <c r="B117" s="429" t="s">
        <v>307</v>
      </c>
      <c r="C117" s="429" t="s">
        <v>410</v>
      </c>
      <c r="D117" s="430">
        <v>5467</v>
      </c>
      <c r="E117" s="429">
        <v>6.8000000000000005E-2</v>
      </c>
      <c r="F117" s="432"/>
      <c r="G117" s="433">
        <f t="shared" si="11"/>
        <v>28140.783008849579</v>
      </c>
      <c r="H117" s="434">
        <f t="shared" si="12"/>
        <v>3.3998300084995738E-3</v>
      </c>
      <c r="I117" s="433">
        <f t="shared" si="13"/>
        <v>1363.2609041235089</v>
      </c>
      <c r="J117" s="433">
        <f t="shared" si="14"/>
        <v>340.81522603087723</v>
      </c>
      <c r="K117" s="433">
        <f t="shared" si="15"/>
        <v>1022.4456780926316</v>
      </c>
      <c r="L117" s="433">
        <f t="shared" si="16"/>
        <v>272.00000000000006</v>
      </c>
      <c r="M117" s="435"/>
      <c r="N117" s="433"/>
      <c r="O117" s="436">
        <f>+VLOOKUP(C117,Pop_ISTAT!$A$10:$J$273,10,FALSE)</f>
        <v>11174</v>
      </c>
      <c r="P117" s="435"/>
      <c r="Q117" s="458">
        <f t="shared" si="19"/>
        <v>11174</v>
      </c>
      <c r="R117" s="429">
        <v>99</v>
      </c>
      <c r="S117" s="350">
        <f t="shared" si="17"/>
        <v>0</v>
      </c>
      <c r="T117" s="350">
        <f t="shared" si="18"/>
        <v>1363.2609041235089</v>
      </c>
    </row>
    <row r="118" spans="1:20" outlineLevel="3">
      <c r="A118" s="429">
        <v>109</v>
      </c>
      <c r="B118" s="429" t="s">
        <v>311</v>
      </c>
      <c r="C118" s="429" t="s">
        <v>419</v>
      </c>
      <c r="D118" s="430">
        <v>5136</v>
      </c>
      <c r="E118" s="429">
        <v>6.4000000000000001E-2</v>
      </c>
      <c r="F118" s="432"/>
      <c r="G118" s="433">
        <f t="shared" si="11"/>
        <v>26485.442831858425</v>
      </c>
      <c r="H118" s="434">
        <f t="shared" si="12"/>
        <v>3.1998400079995986E-3</v>
      </c>
      <c r="I118" s="433">
        <f t="shared" si="13"/>
        <v>1280.7221517428832</v>
      </c>
      <c r="J118" s="433">
        <f t="shared" si="14"/>
        <v>320.18053793572079</v>
      </c>
      <c r="K118" s="433">
        <f t="shared" si="15"/>
        <v>960.54161380716232</v>
      </c>
      <c r="L118" s="433">
        <f t="shared" si="16"/>
        <v>256</v>
      </c>
      <c r="M118" s="435"/>
      <c r="N118" s="433"/>
      <c r="O118" s="436">
        <f>+VLOOKUP(C118,Pop_ISTAT!$A$10:$J$273,10,FALSE)</f>
        <v>11156</v>
      </c>
      <c r="P118" s="435"/>
      <c r="Q118" s="458">
        <f t="shared" si="19"/>
        <v>11156</v>
      </c>
      <c r="R118" s="429">
        <v>100</v>
      </c>
      <c r="S118" s="350">
        <f t="shared" si="17"/>
        <v>0</v>
      </c>
      <c r="T118" s="350">
        <f t="shared" si="18"/>
        <v>1280.7221517428832</v>
      </c>
    </row>
    <row r="119" spans="1:20" outlineLevel="3">
      <c r="A119" s="429">
        <v>103</v>
      </c>
      <c r="B119" s="429" t="s">
        <v>313</v>
      </c>
      <c r="C119" s="429" t="s">
        <v>413</v>
      </c>
      <c r="D119" s="430">
        <v>5339</v>
      </c>
      <c r="E119" s="429">
        <v>6.7000000000000004E-2</v>
      </c>
      <c r="F119" s="432"/>
      <c r="G119" s="433">
        <f t="shared" si="11"/>
        <v>27726.947964601786</v>
      </c>
      <c r="H119" s="434">
        <f t="shared" si="12"/>
        <v>3.3498325083745795E-3</v>
      </c>
      <c r="I119" s="433">
        <f t="shared" si="13"/>
        <v>1331.3425950458047</v>
      </c>
      <c r="J119" s="433">
        <f t="shared" si="14"/>
        <v>332.83564876145118</v>
      </c>
      <c r="K119" s="433">
        <f t="shared" si="15"/>
        <v>998.50694628435349</v>
      </c>
      <c r="L119" s="433">
        <f t="shared" si="16"/>
        <v>268</v>
      </c>
      <c r="M119" s="435"/>
      <c r="N119" s="433"/>
      <c r="O119" s="436">
        <f>+VLOOKUP(C119,Pop_ISTAT!$A$10:$J$273,10,FALSE)</f>
        <v>11063</v>
      </c>
      <c r="P119" s="435"/>
      <c r="Q119" s="458">
        <f t="shared" si="19"/>
        <v>11063</v>
      </c>
      <c r="R119" s="429">
        <v>101</v>
      </c>
      <c r="S119" s="350">
        <f t="shared" si="17"/>
        <v>0</v>
      </c>
      <c r="T119" s="350">
        <f t="shared" si="18"/>
        <v>1331.3425950458047</v>
      </c>
    </row>
    <row r="120" spans="1:20" outlineLevel="3">
      <c r="A120" s="429">
        <v>56</v>
      </c>
      <c r="B120" s="429" t="s">
        <v>315</v>
      </c>
      <c r="C120" s="429" t="s">
        <v>366</v>
      </c>
      <c r="D120" s="430">
        <v>7968</v>
      </c>
      <c r="E120" s="429">
        <v>9.9000000000000005E-2</v>
      </c>
      <c r="F120" s="432"/>
      <c r="G120" s="433">
        <f t="shared" si="11"/>
        <v>40969.669380530999</v>
      </c>
      <c r="H120" s="434">
        <f t="shared" si="12"/>
        <v>4.949752512374379E-3</v>
      </c>
      <c r="I120" s="433">
        <f t="shared" si="13"/>
        <v>1986.9147400870895</v>
      </c>
      <c r="J120" s="433">
        <f t="shared" si="14"/>
        <v>496.72868502177238</v>
      </c>
      <c r="K120" s="433">
        <f t="shared" si="15"/>
        <v>1490.1860550653171</v>
      </c>
      <c r="L120" s="433">
        <f t="shared" si="16"/>
        <v>396</v>
      </c>
      <c r="M120" s="435"/>
      <c r="N120" s="433"/>
      <c r="O120" s="436">
        <f>+VLOOKUP(C120,Pop_ISTAT!$A$10:$J$273,10,FALSE)</f>
        <v>11035</v>
      </c>
      <c r="P120" s="435"/>
      <c r="Q120" s="458">
        <f t="shared" si="19"/>
        <v>11035</v>
      </c>
      <c r="R120" s="429">
        <v>102</v>
      </c>
      <c r="S120" s="350">
        <f t="shared" si="17"/>
        <v>0</v>
      </c>
      <c r="T120" s="350">
        <f t="shared" si="18"/>
        <v>1986.9147400870895</v>
      </c>
    </row>
    <row r="121" spans="1:20" outlineLevel="3">
      <c r="A121" s="429">
        <v>95</v>
      </c>
      <c r="B121" s="429" t="s">
        <v>309</v>
      </c>
      <c r="C121" s="429" t="s">
        <v>405</v>
      </c>
      <c r="D121" s="430">
        <v>5625</v>
      </c>
      <c r="E121" s="429">
        <v>7.0000000000000007E-2</v>
      </c>
      <c r="F121" s="432"/>
      <c r="G121" s="433">
        <f t="shared" si="11"/>
        <v>28968.453097345147</v>
      </c>
      <c r="H121" s="434">
        <f t="shared" si="12"/>
        <v>3.4998250087495603E-3</v>
      </c>
      <c r="I121" s="433">
        <f t="shared" si="13"/>
        <v>1402.6600668913002</v>
      </c>
      <c r="J121" s="433">
        <f t="shared" si="14"/>
        <v>350.66501672282504</v>
      </c>
      <c r="K121" s="433">
        <f t="shared" si="15"/>
        <v>1051.9950501684752</v>
      </c>
      <c r="L121" s="433">
        <f t="shared" si="16"/>
        <v>280.00000000000006</v>
      </c>
      <c r="M121" s="435"/>
      <c r="N121" s="433"/>
      <c r="O121" s="436">
        <f>+VLOOKUP(C121,Pop_ISTAT!$A$10:$J$273,10,FALSE)</f>
        <v>11000</v>
      </c>
      <c r="P121" s="435"/>
      <c r="Q121" s="458">
        <f t="shared" si="19"/>
        <v>11000</v>
      </c>
      <c r="R121" s="429">
        <v>103</v>
      </c>
      <c r="S121" s="350">
        <f t="shared" si="17"/>
        <v>0</v>
      </c>
      <c r="T121" s="350">
        <f t="shared" si="18"/>
        <v>1402.6600668913002</v>
      </c>
    </row>
    <row r="122" spans="1:20" outlineLevel="3">
      <c r="A122" s="429">
        <v>89</v>
      </c>
      <c r="B122" s="429" t="s">
        <v>311</v>
      </c>
      <c r="C122" s="429" t="s">
        <v>399</v>
      </c>
      <c r="D122" s="430">
        <v>5894</v>
      </c>
      <c r="E122" s="429">
        <v>7.2999999999999995E-2</v>
      </c>
      <c r="F122" s="432"/>
      <c r="G122" s="433">
        <f t="shared" si="11"/>
        <v>30209.958230088512</v>
      </c>
      <c r="H122" s="434">
        <f t="shared" si="12"/>
        <v>3.6498175091245416E-3</v>
      </c>
      <c r="I122" s="433">
        <f t="shared" si="13"/>
        <v>1469.738388312413</v>
      </c>
      <c r="J122" s="433">
        <f t="shared" si="14"/>
        <v>367.43459707810325</v>
      </c>
      <c r="K122" s="433">
        <f t="shared" si="15"/>
        <v>1102.3037912343098</v>
      </c>
      <c r="L122" s="433">
        <f t="shared" si="16"/>
        <v>291.99999999999994</v>
      </c>
      <c r="M122" s="435"/>
      <c r="N122" s="433"/>
      <c r="O122" s="436">
        <f>+VLOOKUP(C122,Pop_ISTAT!$A$10:$J$273,10,FALSE)</f>
        <v>10782</v>
      </c>
      <c r="P122" s="435"/>
      <c r="Q122" s="458">
        <f t="shared" si="19"/>
        <v>10782</v>
      </c>
      <c r="R122" s="429">
        <v>104</v>
      </c>
      <c r="S122" s="350">
        <f t="shared" si="17"/>
        <v>0</v>
      </c>
      <c r="T122" s="350">
        <f t="shared" si="18"/>
        <v>1469.738388312413</v>
      </c>
    </row>
    <row r="123" spans="1:20" outlineLevel="3">
      <c r="A123" s="439">
        <v>52</v>
      </c>
      <c r="B123" s="439" t="s">
        <v>311</v>
      </c>
      <c r="C123" s="439" t="s">
        <v>362</v>
      </c>
      <c r="D123" s="440">
        <v>8295</v>
      </c>
      <c r="E123" s="439">
        <v>0.10299999999999999</v>
      </c>
      <c r="F123" s="441" t="s">
        <v>618</v>
      </c>
      <c r="G123" s="442">
        <f t="shared" si="11"/>
        <v>42625.009557522149</v>
      </c>
      <c r="H123" s="443">
        <f t="shared" si="12"/>
        <v>5.1497425128743538E-3</v>
      </c>
      <c r="I123" s="442">
        <f t="shared" si="13"/>
        <v>2068.4560453090371</v>
      </c>
      <c r="J123" s="442">
        <f t="shared" si="14"/>
        <v>517.11401132725928</v>
      </c>
      <c r="K123" s="442">
        <f t="shared" si="15"/>
        <v>1551.3420339817778</v>
      </c>
      <c r="L123" s="442">
        <f t="shared" si="16"/>
        <v>412</v>
      </c>
      <c r="M123" s="444"/>
      <c r="N123" s="442"/>
      <c r="O123" s="445">
        <f>+VLOOKUP(C123,Pop_ISTAT!$A$10:$J$273,10,FALSE)</f>
        <v>10692</v>
      </c>
      <c r="P123" s="444"/>
      <c r="Q123" s="446">
        <f>+O123</f>
        <v>10692</v>
      </c>
      <c r="R123" s="439">
        <v>105</v>
      </c>
      <c r="S123" s="380">
        <f t="shared" si="17"/>
        <v>0</v>
      </c>
      <c r="T123" s="380">
        <f t="shared" si="18"/>
        <v>2068.4560453090371</v>
      </c>
    </row>
    <row r="124" spans="1:20" outlineLevel="3">
      <c r="A124" s="429">
        <v>94</v>
      </c>
      <c r="B124" s="429" t="s">
        <v>306</v>
      </c>
      <c r="C124" s="429" t="s">
        <v>404</v>
      </c>
      <c r="D124" s="430">
        <v>5627</v>
      </c>
      <c r="E124" s="429">
        <v>7.0000000000000007E-2</v>
      </c>
      <c r="F124" s="432"/>
      <c r="G124" s="433">
        <f t="shared" si="11"/>
        <v>28968.453097345147</v>
      </c>
      <c r="H124" s="434">
        <f t="shared" si="12"/>
        <v>3.4998250087495603E-3</v>
      </c>
      <c r="I124" s="433">
        <f t="shared" si="13"/>
        <v>1403.1587904706391</v>
      </c>
      <c r="J124" s="433">
        <f t="shared" si="14"/>
        <v>350.78969761765978</v>
      </c>
      <c r="K124" s="433">
        <f t="shared" si="15"/>
        <v>1052.3690928529793</v>
      </c>
      <c r="L124" s="433">
        <f t="shared" si="16"/>
        <v>280.00000000000006</v>
      </c>
      <c r="M124" s="435"/>
      <c r="N124" s="433"/>
      <c r="O124" s="436">
        <f>+VLOOKUP(C124,Pop_ISTAT!$A$10:$J$273,10,FALSE)</f>
        <v>10110</v>
      </c>
      <c r="P124" s="435"/>
      <c r="Q124" s="458">
        <f t="shared" ref="Q124:Q142" si="20">+O124</f>
        <v>10110</v>
      </c>
      <c r="R124" s="429">
        <v>106</v>
      </c>
      <c r="S124" s="350">
        <f t="shared" si="17"/>
        <v>0</v>
      </c>
      <c r="T124" s="350">
        <f t="shared" si="18"/>
        <v>1403.1587904706391</v>
      </c>
    </row>
    <row r="125" spans="1:20" outlineLevel="3">
      <c r="A125" s="429">
        <v>135</v>
      </c>
      <c r="B125" s="429" t="s">
        <v>315</v>
      </c>
      <c r="C125" s="429" t="s">
        <v>445</v>
      </c>
      <c r="D125" s="430">
        <v>4025</v>
      </c>
      <c r="E125" s="429">
        <v>0.05</v>
      </c>
      <c r="F125" s="432"/>
      <c r="G125" s="433">
        <f t="shared" si="11"/>
        <v>20691.75221238939</v>
      </c>
      <c r="H125" s="434">
        <f t="shared" si="12"/>
        <v>2.499875006249686E-3</v>
      </c>
      <c r="I125" s="433">
        <f t="shared" si="13"/>
        <v>1003.6812034199969</v>
      </c>
      <c r="J125" s="433">
        <f t="shared" si="14"/>
        <v>250.92030085499923</v>
      </c>
      <c r="K125" s="433">
        <f t="shared" si="15"/>
        <v>752.76090256499765</v>
      </c>
      <c r="L125" s="433">
        <f t="shared" si="16"/>
        <v>200</v>
      </c>
      <c r="M125" s="435"/>
      <c r="N125" s="433"/>
      <c r="O125" s="436">
        <f>+VLOOKUP(C125,Pop_ISTAT!$A$10:$J$273,10,FALSE)</f>
        <v>10056</v>
      </c>
      <c r="P125" s="435"/>
      <c r="Q125" s="458">
        <f t="shared" si="20"/>
        <v>10056</v>
      </c>
      <c r="R125" s="429">
        <v>107</v>
      </c>
      <c r="S125" s="350">
        <f t="shared" si="17"/>
        <v>0</v>
      </c>
      <c r="T125" s="350">
        <f t="shared" si="18"/>
        <v>1003.6812034199969</v>
      </c>
    </row>
    <row r="126" spans="1:20" outlineLevel="3">
      <c r="A126" s="429">
        <v>28</v>
      </c>
      <c r="B126" s="429" t="s">
        <v>311</v>
      </c>
      <c r="C126" s="429" t="s">
        <v>337</v>
      </c>
      <c r="D126" s="430">
        <v>11198</v>
      </c>
      <c r="E126" s="429">
        <v>0.14000000000000001</v>
      </c>
      <c r="F126" s="432"/>
      <c r="G126" s="433">
        <f t="shared" si="11"/>
        <v>57936.906194690295</v>
      </c>
      <c r="H126" s="434">
        <f t="shared" si="12"/>
        <v>6.9996500174991207E-3</v>
      </c>
      <c r="I126" s="433">
        <f t="shared" si="13"/>
        <v>2792.3533207197829</v>
      </c>
      <c r="J126" s="433">
        <f t="shared" si="14"/>
        <v>698.08833017994573</v>
      </c>
      <c r="K126" s="433">
        <f t="shared" si="15"/>
        <v>2094.2649905398371</v>
      </c>
      <c r="L126" s="433">
        <f t="shared" si="16"/>
        <v>560.00000000000011</v>
      </c>
      <c r="M126" s="435"/>
      <c r="N126" s="433"/>
      <c r="O126" s="436">
        <f>+VLOOKUP(C126,Pop_ISTAT!$A$10:$J$273,10,FALSE)</f>
        <v>10035</v>
      </c>
      <c r="P126" s="435"/>
      <c r="Q126" s="458">
        <f t="shared" si="20"/>
        <v>10035</v>
      </c>
      <c r="R126" s="429">
        <v>108</v>
      </c>
      <c r="S126" s="350">
        <f t="shared" si="17"/>
        <v>0</v>
      </c>
      <c r="T126" s="350">
        <f t="shared" si="18"/>
        <v>2792.3533207197829</v>
      </c>
    </row>
    <row r="127" spans="1:20" outlineLevel="3" collapsed="1">
      <c r="A127" s="429">
        <v>114</v>
      </c>
      <c r="B127" s="429" t="s">
        <v>311</v>
      </c>
      <c r="C127" s="429" t="s">
        <v>424</v>
      </c>
      <c r="D127" s="430">
        <v>4950</v>
      </c>
      <c r="E127" s="429">
        <v>6.2E-2</v>
      </c>
      <c r="F127" s="432"/>
      <c r="G127" s="433">
        <f t="shared" si="11"/>
        <v>25657.772743362846</v>
      </c>
      <c r="H127" s="434">
        <f t="shared" si="12"/>
        <v>3.0998450077496108E-3</v>
      </c>
      <c r="I127" s="433">
        <f t="shared" si="13"/>
        <v>1234.340858864344</v>
      </c>
      <c r="J127" s="433">
        <f t="shared" si="14"/>
        <v>308.585214716086</v>
      </c>
      <c r="K127" s="433">
        <f t="shared" si="15"/>
        <v>925.75564414825794</v>
      </c>
      <c r="L127" s="433">
        <f t="shared" si="16"/>
        <v>248</v>
      </c>
      <c r="M127" s="435"/>
      <c r="N127" s="433"/>
      <c r="O127" s="436">
        <f>+VLOOKUP(C127,Pop_ISTAT!$A$10:$J$273,10,FALSE)</f>
        <v>9637</v>
      </c>
      <c r="P127" s="435"/>
      <c r="Q127" s="459">
        <f t="shared" si="20"/>
        <v>9637</v>
      </c>
      <c r="R127" s="429">
        <v>109</v>
      </c>
      <c r="S127" s="350">
        <f t="shared" si="17"/>
        <v>0</v>
      </c>
      <c r="T127" s="350">
        <f t="shared" si="18"/>
        <v>1234.340858864344</v>
      </c>
    </row>
    <row r="128" spans="1:20" outlineLevel="3">
      <c r="A128" s="429">
        <v>134</v>
      </c>
      <c r="B128" s="429" t="s">
        <v>306</v>
      </c>
      <c r="C128" s="429" t="s">
        <v>444</v>
      </c>
      <c r="D128" s="430">
        <v>4123</v>
      </c>
      <c r="E128" s="429">
        <v>5.0999999999999997E-2</v>
      </c>
      <c r="F128" s="432"/>
      <c r="G128" s="433">
        <f t="shared" si="11"/>
        <v>21105.587256637176</v>
      </c>
      <c r="H128" s="434">
        <f t="shared" si="12"/>
        <v>2.5498725063746795E-3</v>
      </c>
      <c r="I128" s="433">
        <f t="shared" si="13"/>
        <v>1028.1186588076143</v>
      </c>
      <c r="J128" s="433">
        <f t="shared" si="14"/>
        <v>257.02966470190358</v>
      </c>
      <c r="K128" s="433">
        <f t="shared" si="15"/>
        <v>771.08899410571075</v>
      </c>
      <c r="L128" s="433">
        <f t="shared" si="16"/>
        <v>204</v>
      </c>
      <c r="M128" s="435"/>
      <c r="N128" s="433"/>
      <c r="O128" s="436">
        <f>+VLOOKUP(C128,Pop_ISTAT!$A$10:$J$273,10,FALSE)</f>
        <v>9535</v>
      </c>
      <c r="P128" s="435"/>
      <c r="Q128" s="459">
        <f t="shared" si="20"/>
        <v>9535</v>
      </c>
      <c r="R128" s="429">
        <v>110</v>
      </c>
      <c r="S128" s="350">
        <f t="shared" si="17"/>
        <v>0</v>
      </c>
      <c r="T128" s="350">
        <f t="shared" si="18"/>
        <v>1028.1186588076143</v>
      </c>
    </row>
    <row r="129" spans="1:20" outlineLevel="3">
      <c r="A129" s="429">
        <v>121</v>
      </c>
      <c r="B129" s="429" t="s">
        <v>307</v>
      </c>
      <c r="C129" s="429" t="s">
        <v>431</v>
      </c>
      <c r="D129" s="430">
        <v>4554</v>
      </c>
      <c r="E129" s="429">
        <v>5.7000000000000002E-2</v>
      </c>
      <c r="F129" s="432"/>
      <c r="G129" s="433">
        <f t="shared" si="11"/>
        <v>23588.59752212391</v>
      </c>
      <c r="H129" s="434">
        <f t="shared" si="12"/>
        <v>2.8498575071246425E-3</v>
      </c>
      <c r="I129" s="433">
        <f t="shared" si="13"/>
        <v>1135.5935901551966</v>
      </c>
      <c r="J129" s="433">
        <f t="shared" si="14"/>
        <v>283.89839753879914</v>
      </c>
      <c r="K129" s="433">
        <f t="shared" si="15"/>
        <v>851.69519261639743</v>
      </c>
      <c r="L129" s="433">
        <f t="shared" si="16"/>
        <v>228</v>
      </c>
      <c r="M129" s="435"/>
      <c r="N129" s="433"/>
      <c r="O129" s="436">
        <f>+VLOOKUP(C129,Pop_ISTAT!$A$10:$J$273,10,FALSE)</f>
        <v>9476</v>
      </c>
      <c r="P129" s="435"/>
      <c r="Q129" s="459">
        <f t="shared" si="20"/>
        <v>9476</v>
      </c>
      <c r="R129" s="429">
        <v>111</v>
      </c>
      <c r="S129" s="350">
        <f t="shared" si="17"/>
        <v>0</v>
      </c>
      <c r="T129" s="350">
        <f t="shared" si="18"/>
        <v>1135.5935901551966</v>
      </c>
    </row>
    <row r="130" spans="1:20" outlineLevel="3">
      <c r="A130" s="429">
        <v>83</v>
      </c>
      <c r="B130" s="429" t="s">
        <v>311</v>
      </c>
      <c r="C130" s="429" t="s">
        <v>393</v>
      </c>
      <c r="D130" s="430">
        <v>6017</v>
      </c>
      <c r="E130" s="429">
        <v>7.4999999999999997E-2</v>
      </c>
      <c r="F130" s="432"/>
      <c r="G130" s="433">
        <f t="shared" si="11"/>
        <v>31037.628318584088</v>
      </c>
      <c r="H130" s="434">
        <f t="shared" si="12"/>
        <v>3.749812509374529E-3</v>
      </c>
      <c r="I130" s="433">
        <f t="shared" si="13"/>
        <v>1500.4098884417695</v>
      </c>
      <c r="J130" s="433">
        <f t="shared" si="14"/>
        <v>375.10247211044236</v>
      </c>
      <c r="K130" s="433">
        <f t="shared" si="15"/>
        <v>1125.3074163313272</v>
      </c>
      <c r="L130" s="433">
        <f t="shared" si="16"/>
        <v>300</v>
      </c>
      <c r="M130" s="435"/>
      <c r="N130" s="433"/>
      <c r="O130" s="436">
        <f>+VLOOKUP(C130,Pop_ISTAT!$A$10:$J$273,10,FALSE)</f>
        <v>9268</v>
      </c>
      <c r="P130" s="435"/>
      <c r="Q130" s="459">
        <f t="shared" si="20"/>
        <v>9268</v>
      </c>
      <c r="R130" s="429">
        <v>112</v>
      </c>
      <c r="S130" s="350">
        <f t="shared" si="17"/>
        <v>0</v>
      </c>
      <c r="T130" s="350">
        <f t="shared" si="18"/>
        <v>1500.4098884417695</v>
      </c>
    </row>
    <row r="131" spans="1:20" outlineLevel="3">
      <c r="A131" s="429">
        <v>65</v>
      </c>
      <c r="B131" s="429" t="s">
        <v>311</v>
      </c>
      <c r="C131" s="429" t="s">
        <v>375</v>
      </c>
      <c r="D131" s="430">
        <v>7125</v>
      </c>
      <c r="E131" s="429">
        <v>8.8999999999999996E-2</v>
      </c>
      <c r="F131" s="432"/>
      <c r="G131" s="433">
        <f t="shared" si="11"/>
        <v>36831.318938053111</v>
      </c>
      <c r="H131" s="434">
        <f t="shared" si="12"/>
        <v>4.4497775111244408E-3</v>
      </c>
      <c r="I131" s="433">
        <f t="shared" si="13"/>
        <v>1776.7027513956468</v>
      </c>
      <c r="J131" s="433">
        <f t="shared" si="14"/>
        <v>444.17568784891171</v>
      </c>
      <c r="K131" s="433">
        <f t="shared" si="15"/>
        <v>1332.527063546735</v>
      </c>
      <c r="L131" s="433">
        <f t="shared" si="16"/>
        <v>356</v>
      </c>
      <c r="M131" s="435"/>
      <c r="N131" s="433"/>
      <c r="O131" s="436">
        <f>+VLOOKUP(C131,Pop_ISTAT!$A$10:$J$273,10,FALSE)</f>
        <v>9155</v>
      </c>
      <c r="P131" s="435"/>
      <c r="Q131" s="459">
        <f t="shared" si="20"/>
        <v>9155</v>
      </c>
      <c r="R131" s="429">
        <v>113</v>
      </c>
      <c r="S131" s="350">
        <f t="shared" si="17"/>
        <v>0</v>
      </c>
      <c r="T131" s="350">
        <f t="shared" si="18"/>
        <v>1776.7027513956468</v>
      </c>
    </row>
    <row r="132" spans="1:20" outlineLevel="3">
      <c r="A132" s="429">
        <v>108</v>
      </c>
      <c r="B132" s="429" t="s">
        <v>315</v>
      </c>
      <c r="C132" s="429" t="s">
        <v>418</v>
      </c>
      <c r="D132" s="430">
        <v>5148</v>
      </c>
      <c r="E132" s="429">
        <v>6.4000000000000001E-2</v>
      </c>
      <c r="F132" s="432"/>
      <c r="G132" s="433">
        <f t="shared" si="11"/>
        <v>26485.442831858425</v>
      </c>
      <c r="H132" s="434">
        <f t="shared" si="12"/>
        <v>3.1998400079995986E-3</v>
      </c>
      <c r="I132" s="433">
        <f t="shared" si="13"/>
        <v>1283.7144932189178</v>
      </c>
      <c r="J132" s="433">
        <f t="shared" si="14"/>
        <v>320.92862330472946</v>
      </c>
      <c r="K132" s="433">
        <f t="shared" si="15"/>
        <v>962.78586991418842</v>
      </c>
      <c r="L132" s="433">
        <f t="shared" si="16"/>
        <v>256</v>
      </c>
      <c r="M132" s="435"/>
      <c r="N132" s="433"/>
      <c r="O132" s="436">
        <f>+VLOOKUP(C132,Pop_ISTAT!$A$10:$J$273,10,FALSE)</f>
        <v>9027</v>
      </c>
      <c r="P132" s="435"/>
      <c r="Q132" s="459">
        <f t="shared" si="20"/>
        <v>9027</v>
      </c>
      <c r="R132" s="429">
        <v>114</v>
      </c>
      <c r="S132" s="350">
        <f t="shared" si="17"/>
        <v>0</v>
      </c>
      <c r="T132" s="350">
        <f t="shared" si="18"/>
        <v>1283.7144932189178</v>
      </c>
    </row>
    <row r="133" spans="1:20" outlineLevel="3">
      <c r="A133" s="429">
        <v>124</v>
      </c>
      <c r="B133" s="429" t="s">
        <v>315</v>
      </c>
      <c r="C133" s="429" t="s">
        <v>434</v>
      </c>
      <c r="D133" s="430">
        <v>4423</v>
      </c>
      <c r="E133" s="429">
        <v>5.5E-2</v>
      </c>
      <c r="F133" s="432"/>
      <c r="G133" s="433">
        <f t="shared" si="11"/>
        <v>22760.927433628331</v>
      </c>
      <c r="H133" s="434">
        <f t="shared" si="12"/>
        <v>2.7498625068746547E-3</v>
      </c>
      <c r="I133" s="433">
        <f t="shared" si="13"/>
        <v>1102.9271957084836</v>
      </c>
      <c r="J133" s="433">
        <f t="shared" si="14"/>
        <v>275.73179892712091</v>
      </c>
      <c r="K133" s="433">
        <f t="shared" si="15"/>
        <v>827.19539678136266</v>
      </c>
      <c r="L133" s="433">
        <f t="shared" si="16"/>
        <v>220</v>
      </c>
      <c r="M133" s="435"/>
      <c r="N133" s="433"/>
      <c r="O133" s="436">
        <f>+VLOOKUP(C133,Pop_ISTAT!$A$10:$J$273,10,FALSE)</f>
        <v>8957</v>
      </c>
      <c r="P133" s="435"/>
      <c r="Q133" s="459">
        <f t="shared" si="20"/>
        <v>8957</v>
      </c>
      <c r="R133" s="429">
        <v>115</v>
      </c>
      <c r="S133" s="350">
        <f t="shared" si="17"/>
        <v>0</v>
      </c>
      <c r="T133" s="350">
        <f t="shared" si="18"/>
        <v>1102.9271957084836</v>
      </c>
    </row>
    <row r="134" spans="1:20" outlineLevel="3">
      <c r="A134" s="429">
        <v>137</v>
      </c>
      <c r="B134" s="429" t="s">
        <v>307</v>
      </c>
      <c r="C134" s="429" t="s">
        <v>447</v>
      </c>
      <c r="D134" s="430">
        <v>3979</v>
      </c>
      <c r="E134" s="429">
        <v>0.05</v>
      </c>
      <c r="F134" s="432"/>
      <c r="G134" s="433">
        <f t="shared" si="11"/>
        <v>20691.75221238939</v>
      </c>
      <c r="H134" s="434">
        <f t="shared" si="12"/>
        <v>2.499875006249686E-3</v>
      </c>
      <c r="I134" s="433">
        <f t="shared" si="13"/>
        <v>992.21056109519702</v>
      </c>
      <c r="J134" s="433">
        <f t="shared" si="14"/>
        <v>248.05264027379926</v>
      </c>
      <c r="K134" s="433">
        <f t="shared" si="15"/>
        <v>744.15792082139774</v>
      </c>
      <c r="L134" s="433">
        <f t="shared" si="16"/>
        <v>200</v>
      </c>
      <c r="M134" s="435"/>
      <c r="N134" s="433"/>
      <c r="O134" s="436">
        <f>+VLOOKUP(C134,Pop_ISTAT!$A$10:$J$273,10,FALSE)</f>
        <v>8829</v>
      </c>
      <c r="P134" s="435"/>
      <c r="Q134" s="459">
        <f t="shared" si="20"/>
        <v>8829</v>
      </c>
      <c r="R134" s="429">
        <v>116</v>
      </c>
      <c r="S134" s="350">
        <f t="shared" si="17"/>
        <v>0</v>
      </c>
      <c r="T134" s="350">
        <f t="shared" si="18"/>
        <v>992.21056109519702</v>
      </c>
    </row>
    <row r="135" spans="1:20" outlineLevel="3">
      <c r="A135" s="429">
        <v>128</v>
      </c>
      <c r="B135" s="429" t="s">
        <v>311</v>
      </c>
      <c r="C135" s="429" t="s">
        <v>438</v>
      </c>
      <c r="D135" s="430">
        <v>4357</v>
      </c>
      <c r="E135" s="429">
        <v>5.3999999999999999E-2</v>
      </c>
      <c r="F135" s="432"/>
      <c r="G135" s="433">
        <f t="shared" si="11"/>
        <v>22347.092389380541</v>
      </c>
      <c r="H135" s="434">
        <f t="shared" si="12"/>
        <v>2.6998650067496608E-3</v>
      </c>
      <c r="I135" s="433">
        <f t="shared" si="13"/>
        <v>1086.4693175902923</v>
      </c>
      <c r="J135" s="433">
        <f t="shared" si="14"/>
        <v>271.61732939757309</v>
      </c>
      <c r="K135" s="433">
        <f t="shared" si="15"/>
        <v>814.85198819271932</v>
      </c>
      <c r="L135" s="433">
        <f t="shared" si="16"/>
        <v>216</v>
      </c>
      <c r="M135" s="435"/>
      <c r="N135" s="433"/>
      <c r="O135" s="436">
        <f>+VLOOKUP(C135,Pop_ISTAT!$A$10:$J$273,10,FALSE)</f>
        <v>8824</v>
      </c>
      <c r="P135" s="435"/>
      <c r="Q135" s="459">
        <f t="shared" si="20"/>
        <v>8824</v>
      </c>
      <c r="R135" s="429">
        <v>117</v>
      </c>
      <c r="S135" s="350">
        <f t="shared" si="17"/>
        <v>0</v>
      </c>
      <c r="T135" s="350">
        <f t="shared" si="18"/>
        <v>1086.4693175902923</v>
      </c>
    </row>
    <row r="136" spans="1:20" outlineLevel="3">
      <c r="A136" s="429">
        <v>106</v>
      </c>
      <c r="B136" s="429" t="s">
        <v>311</v>
      </c>
      <c r="C136" s="429" t="s">
        <v>416</v>
      </c>
      <c r="D136" s="430">
        <v>5222</v>
      </c>
      <c r="E136" s="429">
        <v>6.5000000000000002E-2</v>
      </c>
      <c r="F136" s="432"/>
      <c r="G136" s="433">
        <f t="shared" si="11"/>
        <v>26899.277876106211</v>
      </c>
      <c r="H136" s="434">
        <f t="shared" si="12"/>
        <v>3.2498375081245921E-3</v>
      </c>
      <c r="I136" s="433">
        <f t="shared" si="13"/>
        <v>1302.1672656544656</v>
      </c>
      <c r="J136" s="433">
        <f t="shared" si="14"/>
        <v>325.5418164136164</v>
      </c>
      <c r="K136" s="433">
        <f t="shared" si="15"/>
        <v>976.62544924084921</v>
      </c>
      <c r="L136" s="433">
        <f t="shared" si="16"/>
        <v>260</v>
      </c>
      <c r="M136" s="435"/>
      <c r="N136" s="433"/>
      <c r="O136" s="436">
        <f>+VLOOKUP(C136,Pop_ISTAT!$A$10:$J$273,10,FALSE)</f>
        <v>8654</v>
      </c>
      <c r="P136" s="435"/>
      <c r="Q136" s="459">
        <f t="shared" si="20"/>
        <v>8654</v>
      </c>
      <c r="R136" s="429">
        <v>118</v>
      </c>
      <c r="S136" s="350">
        <f t="shared" si="17"/>
        <v>0</v>
      </c>
      <c r="T136" s="350">
        <f t="shared" si="18"/>
        <v>1302.1672656544656</v>
      </c>
    </row>
    <row r="137" spans="1:20" outlineLevel="3" collapsed="1">
      <c r="A137" s="429">
        <v>147</v>
      </c>
      <c r="B137" s="429" t="s">
        <v>311</v>
      </c>
      <c r="C137" s="429" t="s">
        <v>457</v>
      </c>
      <c r="D137" s="430">
        <v>3745</v>
      </c>
      <c r="E137" s="429">
        <v>4.7E-2</v>
      </c>
      <c r="F137" s="432"/>
      <c r="G137" s="433">
        <f t="shared" si="11"/>
        <v>19450.247079646029</v>
      </c>
      <c r="H137" s="434">
        <f t="shared" si="12"/>
        <v>2.3498825058747052E-3</v>
      </c>
      <c r="I137" s="433">
        <f t="shared" si="13"/>
        <v>933.8599023125189</v>
      </c>
      <c r="J137" s="433">
        <f t="shared" si="14"/>
        <v>233.46497557812972</v>
      </c>
      <c r="K137" s="433">
        <f t="shared" si="15"/>
        <v>700.39492673438917</v>
      </c>
      <c r="L137" s="433">
        <f t="shared" si="16"/>
        <v>188</v>
      </c>
      <c r="M137" s="435"/>
      <c r="N137" s="433"/>
      <c r="O137" s="436">
        <f>+VLOOKUP(C137,Pop_ISTAT!$A$10:$J$273,10,FALSE)</f>
        <v>8644</v>
      </c>
      <c r="P137" s="435"/>
      <c r="Q137" s="459">
        <f t="shared" si="20"/>
        <v>8644</v>
      </c>
      <c r="R137" s="429">
        <v>119</v>
      </c>
      <c r="S137" s="350">
        <f t="shared" si="17"/>
        <v>0</v>
      </c>
      <c r="T137" s="350">
        <f t="shared" si="18"/>
        <v>933.8599023125189</v>
      </c>
    </row>
    <row r="138" spans="1:20" outlineLevel="3" collapsed="1">
      <c r="A138" s="429">
        <v>168</v>
      </c>
      <c r="B138" s="429" t="s">
        <v>311</v>
      </c>
      <c r="C138" s="429" t="s">
        <v>478</v>
      </c>
      <c r="D138" s="430">
        <v>3150</v>
      </c>
      <c r="E138" s="429">
        <v>3.9E-2</v>
      </c>
      <c r="F138" s="432"/>
      <c r="G138" s="433">
        <f t="shared" si="11"/>
        <v>16139.566725663724</v>
      </c>
      <c r="H138" s="434">
        <f t="shared" si="12"/>
        <v>1.949902504874755E-3</v>
      </c>
      <c r="I138" s="433">
        <f t="shared" si="13"/>
        <v>785.48963745912806</v>
      </c>
      <c r="J138" s="433">
        <f t="shared" si="14"/>
        <v>196.37240936478202</v>
      </c>
      <c r="K138" s="433">
        <f t="shared" si="15"/>
        <v>589.11722809434605</v>
      </c>
      <c r="L138" s="433">
        <f t="shared" si="16"/>
        <v>156</v>
      </c>
      <c r="M138" s="435"/>
      <c r="N138" s="433"/>
      <c r="O138" s="436">
        <f>+VLOOKUP(C138,Pop_ISTAT!$A$10:$J$273,10,FALSE)</f>
        <v>8576</v>
      </c>
      <c r="P138" s="435"/>
      <c r="Q138" s="459">
        <f t="shared" si="20"/>
        <v>8576</v>
      </c>
      <c r="R138" s="429">
        <v>120</v>
      </c>
      <c r="S138" s="350">
        <f t="shared" si="17"/>
        <v>0</v>
      </c>
      <c r="T138" s="350">
        <f t="shared" si="18"/>
        <v>785.48963745912806</v>
      </c>
    </row>
    <row r="139" spans="1:20" outlineLevel="3">
      <c r="A139" s="429">
        <v>154</v>
      </c>
      <c r="B139" s="429" t="s">
        <v>311</v>
      </c>
      <c r="C139" s="429" t="s">
        <v>464</v>
      </c>
      <c r="D139" s="430">
        <v>3541</v>
      </c>
      <c r="E139" s="429">
        <v>4.3999999999999997E-2</v>
      </c>
      <c r="F139" s="432"/>
      <c r="G139" s="433">
        <f t="shared" si="11"/>
        <v>18208.741946902664</v>
      </c>
      <c r="H139" s="434">
        <f t="shared" si="12"/>
        <v>2.1998900054997239E-3</v>
      </c>
      <c r="I139" s="433">
        <f t="shared" si="13"/>
        <v>882.99009721992775</v>
      </c>
      <c r="J139" s="433">
        <f t="shared" si="14"/>
        <v>220.74752430498194</v>
      </c>
      <c r="K139" s="433">
        <f t="shared" si="15"/>
        <v>662.24257291494587</v>
      </c>
      <c r="L139" s="433">
        <f t="shared" si="16"/>
        <v>176</v>
      </c>
      <c r="M139" s="435"/>
      <c r="N139" s="433"/>
      <c r="O139" s="436">
        <f>+VLOOKUP(C139,Pop_ISTAT!$A$10:$J$273,10,FALSE)</f>
        <v>8465</v>
      </c>
      <c r="P139" s="435"/>
      <c r="Q139" s="459">
        <f t="shared" si="20"/>
        <v>8465</v>
      </c>
      <c r="R139" s="429">
        <v>121</v>
      </c>
      <c r="S139" s="350">
        <f t="shared" si="17"/>
        <v>0</v>
      </c>
      <c r="T139" s="350">
        <f t="shared" si="18"/>
        <v>882.99009721992775</v>
      </c>
    </row>
    <row r="140" spans="1:20" outlineLevel="3">
      <c r="A140" s="429">
        <v>48</v>
      </c>
      <c r="B140" s="429" t="s">
        <v>307</v>
      </c>
      <c r="C140" s="429" t="s">
        <v>357</v>
      </c>
      <c r="D140" s="430">
        <v>8648</v>
      </c>
      <c r="E140" s="429">
        <v>0.108</v>
      </c>
      <c r="F140" s="432"/>
      <c r="G140" s="433">
        <f t="shared" si="11"/>
        <v>44694.184778761082</v>
      </c>
      <c r="H140" s="434">
        <f t="shared" si="12"/>
        <v>5.3997300134993216E-3</v>
      </c>
      <c r="I140" s="433">
        <f t="shared" si="13"/>
        <v>2156.4807570623934</v>
      </c>
      <c r="J140" s="433">
        <f t="shared" si="14"/>
        <v>539.12018926559836</v>
      </c>
      <c r="K140" s="433">
        <f t="shared" si="15"/>
        <v>1617.3605677967951</v>
      </c>
      <c r="L140" s="433">
        <f t="shared" si="16"/>
        <v>432</v>
      </c>
      <c r="M140" s="435"/>
      <c r="N140" s="433"/>
      <c r="O140" s="436">
        <f>+VLOOKUP(C140,Pop_ISTAT!$A$10:$J$273,10,FALSE)</f>
        <v>8173</v>
      </c>
      <c r="P140" s="435"/>
      <c r="Q140" s="459">
        <f t="shared" si="20"/>
        <v>8173</v>
      </c>
      <c r="R140" s="429">
        <v>122</v>
      </c>
      <c r="S140" s="350">
        <f t="shared" si="17"/>
        <v>0</v>
      </c>
      <c r="T140" s="350">
        <f t="shared" si="18"/>
        <v>2156.4807570623934</v>
      </c>
    </row>
    <row r="141" spans="1:20" outlineLevel="3">
      <c r="A141" s="429">
        <v>102</v>
      </c>
      <c r="B141" s="429" t="s">
        <v>315</v>
      </c>
      <c r="C141" s="429" t="s">
        <v>412</v>
      </c>
      <c r="D141" s="430">
        <v>5340</v>
      </c>
      <c r="E141" s="429">
        <v>6.7000000000000004E-2</v>
      </c>
      <c r="F141" s="432"/>
      <c r="G141" s="433">
        <f t="shared" si="11"/>
        <v>27726.947964601786</v>
      </c>
      <c r="H141" s="434">
        <f t="shared" si="12"/>
        <v>3.3498325083745795E-3</v>
      </c>
      <c r="I141" s="433">
        <f t="shared" si="13"/>
        <v>1331.5919568354743</v>
      </c>
      <c r="J141" s="433">
        <f t="shared" si="14"/>
        <v>332.89798920886858</v>
      </c>
      <c r="K141" s="433">
        <f t="shared" si="15"/>
        <v>998.69396762660574</v>
      </c>
      <c r="L141" s="433">
        <f t="shared" si="16"/>
        <v>268</v>
      </c>
      <c r="M141" s="435"/>
      <c r="N141" s="433"/>
      <c r="O141" s="436">
        <f>+VLOOKUP(C141,Pop_ISTAT!$A$10:$J$273,10,FALSE)</f>
        <v>8115</v>
      </c>
      <c r="P141" s="435"/>
      <c r="Q141" s="459">
        <f t="shared" si="20"/>
        <v>8115</v>
      </c>
      <c r="R141" s="429">
        <v>123</v>
      </c>
      <c r="S141" s="350">
        <f t="shared" si="17"/>
        <v>0</v>
      </c>
      <c r="T141" s="350">
        <f t="shared" si="18"/>
        <v>1331.5919568354743</v>
      </c>
    </row>
    <row r="142" spans="1:20" outlineLevel="3">
      <c r="A142" s="429">
        <v>120</v>
      </c>
      <c r="B142" s="429" t="s">
        <v>306</v>
      </c>
      <c r="C142" s="429" t="s">
        <v>430</v>
      </c>
      <c r="D142" s="430">
        <v>4562</v>
      </c>
      <c r="E142" s="429">
        <v>5.7000000000000002E-2</v>
      </c>
      <c r="F142" s="432"/>
      <c r="G142" s="433">
        <f t="shared" si="11"/>
        <v>23588.59752212391</v>
      </c>
      <c r="H142" s="434">
        <f t="shared" si="12"/>
        <v>2.8498575071246425E-3</v>
      </c>
      <c r="I142" s="433">
        <f t="shared" si="13"/>
        <v>1137.5884844725531</v>
      </c>
      <c r="J142" s="433">
        <f t="shared" si="14"/>
        <v>284.39712111813827</v>
      </c>
      <c r="K142" s="433">
        <f t="shared" si="15"/>
        <v>853.19136335441476</v>
      </c>
      <c r="L142" s="433">
        <f t="shared" si="16"/>
        <v>228</v>
      </c>
      <c r="M142" s="435"/>
      <c r="N142" s="433"/>
      <c r="O142" s="436">
        <f>+VLOOKUP(C142,Pop_ISTAT!$A$10:$J$273,10,FALSE)</f>
        <v>7961</v>
      </c>
      <c r="P142" s="435"/>
      <c r="Q142" s="459">
        <f t="shared" si="20"/>
        <v>7961</v>
      </c>
      <c r="R142" s="429">
        <v>124</v>
      </c>
      <c r="S142" s="350">
        <f t="shared" si="17"/>
        <v>0</v>
      </c>
      <c r="T142" s="350">
        <f t="shared" si="18"/>
        <v>1137.5884844725531</v>
      </c>
    </row>
    <row r="143" spans="1:20" outlineLevel="3">
      <c r="A143" s="450">
        <v>116</v>
      </c>
      <c r="B143" s="450" t="s">
        <v>313</v>
      </c>
      <c r="C143" s="450" t="s">
        <v>426</v>
      </c>
      <c r="D143" s="451">
        <v>4912</v>
      </c>
      <c r="E143" s="450">
        <v>6.0999999999999999E-2</v>
      </c>
      <c r="F143" s="452"/>
      <c r="G143" s="453">
        <f t="shared" si="11"/>
        <v>25243.93769911506</v>
      </c>
      <c r="H143" s="454">
        <f t="shared" si="12"/>
        <v>3.0498475076246173E-3</v>
      </c>
      <c r="I143" s="453">
        <f t="shared" si="13"/>
        <v>1224.8651108569006</v>
      </c>
      <c r="J143" s="453">
        <f t="shared" si="14"/>
        <v>306.21627771422516</v>
      </c>
      <c r="K143" s="453">
        <f t="shared" si="15"/>
        <v>918.64883314267547</v>
      </c>
      <c r="L143" s="453">
        <f t="shared" si="16"/>
        <v>244</v>
      </c>
      <c r="M143" s="455" t="s">
        <v>623</v>
      </c>
      <c r="N143" s="453">
        <v>10000</v>
      </c>
      <c r="O143" s="456">
        <f>+VLOOKUP(C143,Pop_ISTAT!$A$10:$J$273,10,FALSE)</f>
        <v>7933</v>
      </c>
      <c r="P143" s="457">
        <f>+O143</f>
        <v>7933</v>
      </c>
      <c r="Q143" s="455"/>
      <c r="R143" s="450">
        <v>125</v>
      </c>
      <c r="S143" s="389">
        <f t="shared" si="17"/>
        <v>1224.8651108569006</v>
      </c>
      <c r="T143" s="389">
        <f t="shared" si="18"/>
        <v>0</v>
      </c>
    </row>
    <row r="144" spans="1:20" outlineLevel="3">
      <c r="A144" s="429">
        <v>208</v>
      </c>
      <c r="B144" s="429" t="s">
        <v>311</v>
      </c>
      <c r="C144" s="429" t="s">
        <v>517</v>
      </c>
      <c r="D144" s="430">
        <v>2101</v>
      </c>
      <c r="E144" s="429">
        <v>2.5999999999999999E-2</v>
      </c>
      <c r="F144" s="432"/>
      <c r="G144" s="433">
        <f t="shared" si="11"/>
        <v>10759.711150442483</v>
      </c>
      <c r="H144" s="434">
        <f t="shared" si="12"/>
        <v>1.2999350032498367E-3</v>
      </c>
      <c r="I144" s="433">
        <f t="shared" si="13"/>
        <v>523.90912009575493</v>
      </c>
      <c r="J144" s="433">
        <f t="shared" si="14"/>
        <v>130.97728002393873</v>
      </c>
      <c r="K144" s="433">
        <f t="shared" si="15"/>
        <v>392.93184007181617</v>
      </c>
      <c r="L144" s="433">
        <f t="shared" si="16"/>
        <v>104</v>
      </c>
      <c r="M144" s="435"/>
      <c r="N144" s="433"/>
      <c r="O144" s="436">
        <f>+VLOOKUP(C144,Pop_ISTAT!$A$10:$J$273,10,FALSE)</f>
        <v>7864</v>
      </c>
      <c r="P144" s="435"/>
      <c r="Q144" s="459">
        <f t="shared" ref="Q144:Q150" si="21">+O144</f>
        <v>7864</v>
      </c>
      <c r="R144" s="429">
        <v>126</v>
      </c>
      <c r="S144" s="350">
        <f t="shared" si="17"/>
        <v>0</v>
      </c>
      <c r="T144" s="350">
        <f t="shared" si="18"/>
        <v>523.90912009575493</v>
      </c>
    </row>
    <row r="145" spans="1:20" outlineLevel="3">
      <c r="A145" s="429">
        <v>142</v>
      </c>
      <c r="B145" s="429" t="s">
        <v>311</v>
      </c>
      <c r="C145" s="429" t="s">
        <v>452</v>
      </c>
      <c r="D145" s="430">
        <v>3809</v>
      </c>
      <c r="E145" s="429">
        <v>4.7E-2</v>
      </c>
      <c r="F145" s="432"/>
      <c r="G145" s="433">
        <f t="shared" si="11"/>
        <v>19450.247079646029</v>
      </c>
      <c r="H145" s="434">
        <f t="shared" si="12"/>
        <v>2.3498825058747052E-3</v>
      </c>
      <c r="I145" s="433">
        <f t="shared" si="13"/>
        <v>949.81905685137099</v>
      </c>
      <c r="J145" s="433">
        <f t="shared" si="14"/>
        <v>237.45476421284275</v>
      </c>
      <c r="K145" s="433">
        <f t="shared" si="15"/>
        <v>712.36429263852824</v>
      </c>
      <c r="L145" s="433">
        <f t="shared" si="16"/>
        <v>188</v>
      </c>
      <c r="M145" s="435"/>
      <c r="N145" s="433"/>
      <c r="O145" s="436">
        <f>+VLOOKUP(C145,Pop_ISTAT!$A$10:$J$273,10,FALSE)</f>
        <v>7611</v>
      </c>
      <c r="P145" s="435"/>
      <c r="Q145" s="459">
        <f t="shared" si="21"/>
        <v>7611</v>
      </c>
      <c r="R145" s="429">
        <v>127</v>
      </c>
      <c r="S145" s="350">
        <f t="shared" si="17"/>
        <v>0</v>
      </c>
      <c r="T145" s="350">
        <f t="shared" si="18"/>
        <v>949.81905685137099</v>
      </c>
    </row>
    <row r="146" spans="1:20" outlineLevel="3">
      <c r="A146" s="429">
        <v>167</v>
      </c>
      <c r="B146" s="429" t="s">
        <v>311</v>
      </c>
      <c r="C146" s="429" t="s">
        <v>477</v>
      </c>
      <c r="D146" s="430">
        <v>3191</v>
      </c>
      <c r="E146" s="429">
        <v>0.04</v>
      </c>
      <c r="F146" s="432"/>
      <c r="G146" s="433">
        <f t="shared" si="11"/>
        <v>16553.401769911514</v>
      </c>
      <c r="H146" s="434">
        <f t="shared" si="12"/>
        <v>1.9999000049997491E-3</v>
      </c>
      <c r="I146" s="433">
        <f t="shared" si="13"/>
        <v>795.71347083558021</v>
      </c>
      <c r="J146" s="433">
        <f t="shared" si="14"/>
        <v>198.92836770889505</v>
      </c>
      <c r="K146" s="433">
        <f t="shared" si="15"/>
        <v>596.78510312668516</v>
      </c>
      <c r="L146" s="433">
        <f t="shared" si="16"/>
        <v>160</v>
      </c>
      <c r="M146" s="435"/>
      <c r="N146" s="433"/>
      <c r="O146" s="436">
        <f>+VLOOKUP(C146,Pop_ISTAT!$A$10:$J$273,10,FALSE)</f>
        <v>7502</v>
      </c>
      <c r="P146" s="435"/>
      <c r="Q146" s="459">
        <f t="shared" si="21"/>
        <v>7502</v>
      </c>
      <c r="R146" s="429">
        <v>128</v>
      </c>
      <c r="S146" s="350">
        <f t="shared" si="17"/>
        <v>0</v>
      </c>
      <c r="T146" s="350">
        <f t="shared" si="18"/>
        <v>795.71347083558021</v>
      </c>
    </row>
    <row r="147" spans="1:20" outlineLevel="3">
      <c r="A147" s="429">
        <v>173</v>
      </c>
      <c r="B147" s="429" t="s">
        <v>307</v>
      </c>
      <c r="C147" s="429" t="s">
        <v>483</v>
      </c>
      <c r="D147" s="430">
        <v>2992</v>
      </c>
      <c r="E147" s="429">
        <v>3.6999999999999998E-2</v>
      </c>
      <c r="F147" s="432"/>
      <c r="G147" s="433">
        <f t="shared" ref="G147:G210" si="22">+$D$6*E147/$E$14</f>
        <v>15311.896637168149</v>
      </c>
      <c r="H147" s="434">
        <f t="shared" ref="H147:H210" si="23">+G147/$G$14</f>
        <v>1.8499075046247676E-3</v>
      </c>
      <c r="I147" s="433">
        <f t="shared" ref="I147:I210" si="24">+$D$10/$D$14*D147</f>
        <v>746.09047469133691</v>
      </c>
      <c r="J147" s="433">
        <f t="shared" ref="J147:J210" si="25">+I147*25%</f>
        <v>186.52261867283423</v>
      </c>
      <c r="K147" s="433">
        <f t="shared" ref="K147:K210" si="26">+I147-J147</f>
        <v>559.56785601850265</v>
      </c>
      <c r="L147" s="433">
        <f t="shared" ref="L147:L210" si="27">+$D$10*$E147/100</f>
        <v>148</v>
      </c>
      <c r="M147" s="435"/>
      <c r="N147" s="433"/>
      <c r="O147" s="436">
        <f>+VLOOKUP(C147,Pop_ISTAT!$A$10:$J$273,10,FALSE)</f>
        <v>7493</v>
      </c>
      <c r="P147" s="435"/>
      <c r="Q147" s="459">
        <f t="shared" si="21"/>
        <v>7493</v>
      </c>
      <c r="R147" s="429">
        <v>129</v>
      </c>
      <c r="S147" s="350">
        <f t="shared" si="17"/>
        <v>0</v>
      </c>
      <c r="T147" s="350">
        <f t="shared" si="18"/>
        <v>746.09047469133691</v>
      </c>
    </row>
    <row r="148" spans="1:20" outlineLevel="3">
      <c r="A148" s="429">
        <v>104</v>
      </c>
      <c r="B148" s="429" t="s">
        <v>309</v>
      </c>
      <c r="C148" s="429" t="s">
        <v>414</v>
      </c>
      <c r="D148" s="430">
        <v>5294</v>
      </c>
      <c r="E148" s="429">
        <v>6.6000000000000003E-2</v>
      </c>
      <c r="F148" s="432"/>
      <c r="G148" s="433">
        <f t="shared" si="22"/>
        <v>27313.112920354</v>
      </c>
      <c r="H148" s="434">
        <f t="shared" si="23"/>
        <v>3.299835008249586E-3</v>
      </c>
      <c r="I148" s="433">
        <f t="shared" si="24"/>
        <v>1320.1213145106742</v>
      </c>
      <c r="J148" s="433">
        <f t="shared" si="25"/>
        <v>330.03032862766855</v>
      </c>
      <c r="K148" s="433">
        <f t="shared" si="26"/>
        <v>990.09098588300571</v>
      </c>
      <c r="L148" s="433">
        <f t="shared" si="27"/>
        <v>264</v>
      </c>
      <c r="M148" s="435"/>
      <c r="N148" s="433"/>
      <c r="O148" s="436">
        <f>+VLOOKUP(C148,Pop_ISTAT!$A$10:$J$273,10,FALSE)</f>
        <v>7231</v>
      </c>
      <c r="P148" s="435"/>
      <c r="Q148" s="459">
        <f t="shared" si="21"/>
        <v>7231</v>
      </c>
      <c r="R148" s="429">
        <v>130</v>
      </c>
      <c r="S148" s="350">
        <f t="shared" ref="S148:S211" si="28">+IF(P148="",0,I148)</f>
        <v>0</v>
      </c>
      <c r="T148" s="350">
        <f t="shared" ref="T148:T211" si="29">+IF(Q148="",0,I148)</f>
        <v>1320.1213145106742</v>
      </c>
    </row>
    <row r="149" spans="1:20" outlineLevel="3">
      <c r="A149" s="429">
        <v>233</v>
      </c>
      <c r="B149" s="429" t="s">
        <v>309</v>
      </c>
      <c r="C149" s="429" t="s">
        <v>542</v>
      </c>
      <c r="D149" s="430">
        <v>1583</v>
      </c>
      <c r="E149" s="429">
        <v>0.02</v>
      </c>
      <c r="F149" s="432"/>
      <c r="G149" s="433">
        <f t="shared" si="22"/>
        <v>8276.7008849557569</v>
      </c>
      <c r="H149" s="434">
        <f t="shared" si="23"/>
        <v>9.9995000249987454E-4</v>
      </c>
      <c r="I149" s="433">
        <f t="shared" si="24"/>
        <v>394.73971304692054</v>
      </c>
      <c r="J149" s="433">
        <f t="shared" si="25"/>
        <v>98.684928261730136</v>
      </c>
      <c r="K149" s="433">
        <f t="shared" si="26"/>
        <v>296.05478478519041</v>
      </c>
      <c r="L149" s="433">
        <f t="shared" si="27"/>
        <v>80</v>
      </c>
      <c r="M149" s="435"/>
      <c r="N149" s="433"/>
      <c r="O149" s="436">
        <f>+VLOOKUP(C149,Pop_ISTAT!$A$10:$J$273,10,FALSE)</f>
        <v>6884</v>
      </c>
      <c r="P149" s="435"/>
      <c r="Q149" s="459">
        <f t="shared" si="21"/>
        <v>6884</v>
      </c>
      <c r="R149" s="429">
        <v>131</v>
      </c>
      <c r="S149" s="350">
        <f t="shared" si="28"/>
        <v>0</v>
      </c>
      <c r="T149" s="350">
        <f t="shared" si="29"/>
        <v>394.73971304692054</v>
      </c>
    </row>
    <row r="150" spans="1:20" outlineLevel="3">
      <c r="A150" s="429">
        <v>145</v>
      </c>
      <c r="B150" s="429" t="s">
        <v>311</v>
      </c>
      <c r="C150" s="429" t="s">
        <v>455</v>
      </c>
      <c r="D150" s="430">
        <v>3775</v>
      </c>
      <c r="E150" s="429">
        <v>4.7E-2</v>
      </c>
      <c r="F150" s="432"/>
      <c r="G150" s="433">
        <f t="shared" si="22"/>
        <v>19450.247079646029</v>
      </c>
      <c r="H150" s="434">
        <f t="shared" si="23"/>
        <v>2.3498825058747052E-3</v>
      </c>
      <c r="I150" s="433">
        <f t="shared" si="24"/>
        <v>941.34075600260587</v>
      </c>
      <c r="J150" s="433">
        <f t="shared" si="25"/>
        <v>235.33518900065147</v>
      </c>
      <c r="K150" s="433">
        <f t="shared" si="26"/>
        <v>706.00556700195443</v>
      </c>
      <c r="L150" s="433">
        <f t="shared" si="27"/>
        <v>188</v>
      </c>
      <c r="M150" s="435"/>
      <c r="N150" s="433"/>
      <c r="O150" s="436">
        <f>+VLOOKUP(C150,Pop_ISTAT!$A$10:$J$273,10,FALSE)</f>
        <v>6663</v>
      </c>
      <c r="P150" s="435"/>
      <c r="Q150" s="459">
        <f t="shared" si="21"/>
        <v>6663</v>
      </c>
      <c r="R150" s="429">
        <v>132</v>
      </c>
      <c r="S150" s="350">
        <f t="shared" si="28"/>
        <v>0</v>
      </c>
      <c r="T150" s="350">
        <f t="shared" si="29"/>
        <v>941.34075600260587</v>
      </c>
    </row>
    <row r="151" spans="1:20" outlineLevel="3">
      <c r="A151" s="439">
        <v>162</v>
      </c>
      <c r="B151" s="439" t="s">
        <v>311</v>
      </c>
      <c r="C151" s="439" t="s">
        <v>472</v>
      </c>
      <c r="D151" s="440">
        <v>3264</v>
      </c>
      <c r="E151" s="439">
        <v>4.1000000000000002E-2</v>
      </c>
      <c r="F151" s="441" t="s">
        <v>619</v>
      </c>
      <c r="G151" s="442">
        <f t="shared" si="22"/>
        <v>16967.236814159303</v>
      </c>
      <c r="H151" s="443">
        <f t="shared" si="23"/>
        <v>2.049897505124743E-3</v>
      </c>
      <c r="I151" s="442">
        <f t="shared" si="24"/>
        <v>813.9168814814584</v>
      </c>
      <c r="J151" s="442">
        <f t="shared" si="25"/>
        <v>203.4792203703646</v>
      </c>
      <c r="K151" s="442">
        <f t="shared" si="26"/>
        <v>610.4376611110938</v>
      </c>
      <c r="L151" s="442">
        <f t="shared" si="27"/>
        <v>164</v>
      </c>
      <c r="M151" s="444"/>
      <c r="N151" s="442"/>
      <c r="O151" s="445">
        <f>+VLOOKUP(C151,Pop_ISTAT!$A$10:$J$273,10,FALSE)</f>
        <v>6571</v>
      </c>
      <c r="P151" s="444"/>
      <c r="Q151" s="446">
        <f>+O151</f>
        <v>6571</v>
      </c>
      <c r="R151" s="439">
        <v>133</v>
      </c>
      <c r="S151" s="380">
        <f t="shared" si="28"/>
        <v>0</v>
      </c>
      <c r="T151" s="380">
        <f t="shared" si="29"/>
        <v>813.9168814814584</v>
      </c>
    </row>
    <row r="152" spans="1:20" outlineLevel="3">
      <c r="A152" s="429">
        <v>126</v>
      </c>
      <c r="B152" s="429" t="s">
        <v>309</v>
      </c>
      <c r="C152" s="429" t="s">
        <v>436</v>
      </c>
      <c r="D152" s="430">
        <v>4380</v>
      </c>
      <c r="E152" s="429">
        <v>5.5E-2</v>
      </c>
      <c r="F152" s="432"/>
      <c r="G152" s="433">
        <f t="shared" si="22"/>
        <v>22760.927433628331</v>
      </c>
      <c r="H152" s="434">
        <f t="shared" si="23"/>
        <v>2.7498625068746547E-3</v>
      </c>
      <c r="I152" s="433">
        <f t="shared" si="24"/>
        <v>1092.2046387526923</v>
      </c>
      <c r="J152" s="433">
        <f t="shared" si="25"/>
        <v>273.05115968817307</v>
      </c>
      <c r="K152" s="433">
        <f t="shared" si="26"/>
        <v>819.15347906451916</v>
      </c>
      <c r="L152" s="433">
        <f t="shared" si="27"/>
        <v>220</v>
      </c>
      <c r="M152" s="435"/>
      <c r="N152" s="433"/>
      <c r="O152" s="436">
        <f>+VLOOKUP(C152,Pop_ISTAT!$A$10:$J$273,10,FALSE)</f>
        <v>6567</v>
      </c>
      <c r="P152" s="435"/>
      <c r="Q152" s="459">
        <f t="shared" ref="Q152:Q167" si="30">+O152</f>
        <v>6567</v>
      </c>
      <c r="R152" s="429">
        <v>134</v>
      </c>
      <c r="S152" s="350">
        <f t="shared" si="28"/>
        <v>0</v>
      </c>
      <c r="T152" s="350">
        <f t="shared" si="29"/>
        <v>1092.2046387526923</v>
      </c>
    </row>
    <row r="153" spans="1:20" outlineLevel="3">
      <c r="A153" s="429">
        <v>170</v>
      </c>
      <c r="B153" s="429" t="s">
        <v>311</v>
      </c>
      <c r="C153" s="429" t="s">
        <v>480</v>
      </c>
      <c r="D153" s="430">
        <v>3108</v>
      </c>
      <c r="E153" s="429">
        <v>3.9E-2</v>
      </c>
      <c r="F153" s="432"/>
      <c r="G153" s="433">
        <f t="shared" si="22"/>
        <v>16139.566725663724</v>
      </c>
      <c r="H153" s="434">
        <f t="shared" si="23"/>
        <v>1.949902504874755E-3</v>
      </c>
      <c r="I153" s="433">
        <f t="shared" si="24"/>
        <v>775.01644229300632</v>
      </c>
      <c r="J153" s="433">
        <f t="shared" si="25"/>
        <v>193.75411057325158</v>
      </c>
      <c r="K153" s="433">
        <f t="shared" si="26"/>
        <v>581.26233171975468</v>
      </c>
      <c r="L153" s="433">
        <f t="shared" si="27"/>
        <v>156</v>
      </c>
      <c r="M153" s="435"/>
      <c r="N153" s="433"/>
      <c r="O153" s="436">
        <f>+VLOOKUP(C153,Pop_ISTAT!$A$10:$J$273,10,FALSE)</f>
        <v>6566</v>
      </c>
      <c r="P153" s="435"/>
      <c r="Q153" s="459">
        <f t="shared" si="30"/>
        <v>6566</v>
      </c>
      <c r="R153" s="429">
        <v>135</v>
      </c>
      <c r="S153" s="350">
        <f t="shared" si="28"/>
        <v>0</v>
      </c>
      <c r="T153" s="350">
        <f t="shared" si="29"/>
        <v>775.01644229300632</v>
      </c>
    </row>
    <row r="154" spans="1:20" outlineLevel="3">
      <c r="A154" s="429">
        <v>84</v>
      </c>
      <c r="B154" s="429" t="s">
        <v>311</v>
      </c>
      <c r="C154" s="429" t="s">
        <v>394</v>
      </c>
      <c r="D154" s="430">
        <v>5997</v>
      </c>
      <c r="E154" s="429">
        <v>7.4999999999999997E-2</v>
      </c>
      <c r="F154" s="432"/>
      <c r="G154" s="433">
        <f t="shared" si="22"/>
        <v>31037.628318584088</v>
      </c>
      <c r="H154" s="434">
        <f t="shared" si="23"/>
        <v>3.749812509374529E-3</v>
      </c>
      <c r="I154" s="433">
        <f t="shared" si="24"/>
        <v>1495.4226526483781</v>
      </c>
      <c r="J154" s="433">
        <f t="shared" si="25"/>
        <v>373.85566316209452</v>
      </c>
      <c r="K154" s="433">
        <f t="shared" si="26"/>
        <v>1121.5669894862835</v>
      </c>
      <c r="L154" s="433">
        <f t="shared" si="27"/>
        <v>300</v>
      </c>
      <c r="M154" s="435"/>
      <c r="N154" s="433"/>
      <c r="O154" s="436">
        <f>+VLOOKUP(C154,Pop_ISTAT!$A$10:$J$273,10,FALSE)</f>
        <v>6563</v>
      </c>
      <c r="P154" s="435"/>
      <c r="Q154" s="459">
        <f t="shared" si="30"/>
        <v>6563</v>
      </c>
      <c r="R154" s="429">
        <v>136</v>
      </c>
      <c r="S154" s="350">
        <f t="shared" si="28"/>
        <v>0</v>
      </c>
      <c r="T154" s="350">
        <f t="shared" si="29"/>
        <v>1495.4226526483781</v>
      </c>
    </row>
    <row r="155" spans="1:20" outlineLevel="3">
      <c r="A155" s="429">
        <v>182</v>
      </c>
      <c r="B155" s="429" t="s">
        <v>309</v>
      </c>
      <c r="C155" s="429" t="s">
        <v>492</v>
      </c>
      <c r="D155" s="430">
        <v>2860</v>
      </c>
      <c r="E155" s="429">
        <v>3.5999999999999997E-2</v>
      </c>
      <c r="F155" s="432"/>
      <c r="G155" s="433">
        <f t="shared" si="22"/>
        <v>14898.06159292036</v>
      </c>
      <c r="H155" s="434">
        <f t="shared" si="23"/>
        <v>1.7999100044997737E-3</v>
      </c>
      <c r="I155" s="433">
        <f t="shared" si="24"/>
        <v>713.17471845495436</v>
      </c>
      <c r="J155" s="433">
        <f t="shared" si="25"/>
        <v>178.29367961373859</v>
      </c>
      <c r="K155" s="433">
        <f t="shared" si="26"/>
        <v>534.88103884121574</v>
      </c>
      <c r="L155" s="433">
        <f t="shared" si="27"/>
        <v>143.99999999999997</v>
      </c>
      <c r="M155" s="435"/>
      <c r="N155" s="433"/>
      <c r="O155" s="436">
        <f>+VLOOKUP(C155,Pop_ISTAT!$A$10:$J$273,10,FALSE)</f>
        <v>6549</v>
      </c>
      <c r="P155" s="435"/>
      <c r="Q155" s="459">
        <f t="shared" si="30"/>
        <v>6549</v>
      </c>
      <c r="R155" s="429">
        <v>137</v>
      </c>
      <c r="S155" s="350">
        <f t="shared" si="28"/>
        <v>0</v>
      </c>
      <c r="T155" s="350">
        <f t="shared" si="29"/>
        <v>713.17471845495436</v>
      </c>
    </row>
    <row r="156" spans="1:20" outlineLevel="3">
      <c r="A156" s="429">
        <v>113</v>
      </c>
      <c r="B156" s="429" t="s">
        <v>311</v>
      </c>
      <c r="C156" s="429" t="s">
        <v>423</v>
      </c>
      <c r="D156" s="430">
        <v>4953</v>
      </c>
      <c r="E156" s="429">
        <v>6.2E-2</v>
      </c>
      <c r="F156" s="432"/>
      <c r="G156" s="433">
        <f t="shared" si="22"/>
        <v>25657.772743362846</v>
      </c>
      <c r="H156" s="434">
        <f t="shared" si="23"/>
        <v>3.0998450077496108E-3</v>
      </c>
      <c r="I156" s="433">
        <f t="shared" si="24"/>
        <v>1235.0889442333528</v>
      </c>
      <c r="J156" s="433">
        <f t="shared" si="25"/>
        <v>308.77223605833819</v>
      </c>
      <c r="K156" s="433">
        <f t="shared" si="26"/>
        <v>926.31670817501458</v>
      </c>
      <c r="L156" s="433">
        <f t="shared" si="27"/>
        <v>248</v>
      </c>
      <c r="M156" s="435"/>
      <c r="N156" s="433"/>
      <c r="O156" s="436">
        <f>+VLOOKUP(C156,Pop_ISTAT!$A$10:$J$273,10,FALSE)</f>
        <v>6491</v>
      </c>
      <c r="P156" s="435"/>
      <c r="Q156" s="459">
        <f t="shared" si="30"/>
        <v>6491</v>
      </c>
      <c r="R156" s="429">
        <v>138</v>
      </c>
      <c r="S156" s="350">
        <f t="shared" si="28"/>
        <v>0</v>
      </c>
      <c r="T156" s="350">
        <f t="shared" si="29"/>
        <v>1235.0889442333528</v>
      </c>
    </row>
    <row r="157" spans="1:20" outlineLevel="3">
      <c r="A157" s="429">
        <v>164</v>
      </c>
      <c r="B157" s="429" t="s">
        <v>307</v>
      </c>
      <c r="C157" s="429" t="s">
        <v>474</v>
      </c>
      <c r="D157" s="430">
        <v>3255</v>
      </c>
      <c r="E157" s="429">
        <v>4.1000000000000002E-2</v>
      </c>
      <c r="F157" s="432"/>
      <c r="G157" s="433">
        <f t="shared" si="22"/>
        <v>16967.236814159303</v>
      </c>
      <c r="H157" s="434">
        <f t="shared" si="23"/>
        <v>2.049897505124743E-3</v>
      </c>
      <c r="I157" s="433">
        <f t="shared" si="24"/>
        <v>811.6726253744323</v>
      </c>
      <c r="J157" s="433">
        <f t="shared" si="25"/>
        <v>202.91815634360808</v>
      </c>
      <c r="K157" s="433">
        <f t="shared" si="26"/>
        <v>608.75446903082423</v>
      </c>
      <c r="L157" s="433">
        <f t="shared" si="27"/>
        <v>164</v>
      </c>
      <c r="M157" s="435"/>
      <c r="N157" s="433"/>
      <c r="O157" s="436">
        <f>+VLOOKUP(C157,Pop_ISTAT!$A$10:$J$273,10,FALSE)</f>
        <v>6454</v>
      </c>
      <c r="P157" s="435"/>
      <c r="Q157" s="459">
        <f t="shared" si="30"/>
        <v>6454</v>
      </c>
      <c r="R157" s="429">
        <v>139</v>
      </c>
      <c r="S157" s="350">
        <f t="shared" si="28"/>
        <v>0</v>
      </c>
      <c r="T157" s="350">
        <f t="shared" si="29"/>
        <v>811.6726253744323</v>
      </c>
    </row>
    <row r="158" spans="1:20" outlineLevel="3">
      <c r="A158" s="429">
        <v>220</v>
      </c>
      <c r="B158" s="429" t="s">
        <v>311</v>
      </c>
      <c r="C158" s="429" t="s">
        <v>529</v>
      </c>
      <c r="D158" s="430">
        <v>1795</v>
      </c>
      <c r="E158" s="429">
        <v>2.1999999999999999E-2</v>
      </c>
      <c r="F158" s="432"/>
      <c r="G158" s="433">
        <f t="shared" si="22"/>
        <v>9104.3709734513322</v>
      </c>
      <c r="H158" s="434">
        <f t="shared" si="23"/>
        <v>1.0999450027498619E-3</v>
      </c>
      <c r="I158" s="433">
        <f t="shared" si="24"/>
        <v>447.6044124568682</v>
      </c>
      <c r="J158" s="433">
        <f t="shared" si="25"/>
        <v>111.90110311421705</v>
      </c>
      <c r="K158" s="433">
        <f t="shared" si="26"/>
        <v>335.70330934265115</v>
      </c>
      <c r="L158" s="433">
        <f t="shared" si="27"/>
        <v>88</v>
      </c>
      <c r="M158" s="435"/>
      <c r="N158" s="433"/>
      <c r="O158" s="436">
        <f>+VLOOKUP(C158,Pop_ISTAT!$A$10:$J$273,10,FALSE)</f>
        <v>6399</v>
      </c>
      <c r="P158" s="435"/>
      <c r="Q158" s="459">
        <f t="shared" si="30"/>
        <v>6399</v>
      </c>
      <c r="R158" s="429">
        <v>140</v>
      </c>
      <c r="S158" s="350">
        <f t="shared" si="28"/>
        <v>0</v>
      </c>
      <c r="T158" s="350">
        <f t="shared" si="29"/>
        <v>447.6044124568682</v>
      </c>
    </row>
    <row r="159" spans="1:20" outlineLevel="3">
      <c r="A159" s="429">
        <v>101</v>
      </c>
      <c r="B159" s="429" t="s">
        <v>309</v>
      </c>
      <c r="C159" s="429" t="s">
        <v>411</v>
      </c>
      <c r="D159" s="430">
        <v>5427</v>
      </c>
      <c r="E159" s="429">
        <v>6.8000000000000005E-2</v>
      </c>
      <c r="F159" s="432"/>
      <c r="G159" s="433">
        <f t="shared" si="22"/>
        <v>28140.783008849579</v>
      </c>
      <c r="H159" s="434">
        <f t="shared" si="23"/>
        <v>3.3998300084995738E-3</v>
      </c>
      <c r="I159" s="433">
        <f t="shared" si="24"/>
        <v>1353.2864325367264</v>
      </c>
      <c r="J159" s="433">
        <f t="shared" si="25"/>
        <v>338.32160813418159</v>
      </c>
      <c r="K159" s="433">
        <f t="shared" si="26"/>
        <v>1014.9648244025448</v>
      </c>
      <c r="L159" s="433">
        <f t="shared" si="27"/>
        <v>272.00000000000006</v>
      </c>
      <c r="M159" s="435"/>
      <c r="N159" s="433"/>
      <c r="O159" s="436">
        <f>+VLOOKUP(C159,Pop_ISTAT!$A$10:$J$273,10,FALSE)</f>
        <v>6233</v>
      </c>
      <c r="P159" s="435"/>
      <c r="Q159" s="459">
        <f t="shared" si="30"/>
        <v>6233</v>
      </c>
      <c r="R159" s="429">
        <v>141</v>
      </c>
      <c r="S159" s="350">
        <f t="shared" si="28"/>
        <v>0</v>
      </c>
      <c r="T159" s="350">
        <f t="shared" si="29"/>
        <v>1353.2864325367264</v>
      </c>
    </row>
    <row r="160" spans="1:20" outlineLevel="3">
      <c r="A160" s="429">
        <v>92</v>
      </c>
      <c r="B160" s="429" t="s">
        <v>307</v>
      </c>
      <c r="C160" s="429" t="s">
        <v>402</v>
      </c>
      <c r="D160" s="430">
        <v>5727</v>
      </c>
      <c r="E160" s="429">
        <v>7.0999999999999994E-2</v>
      </c>
      <c r="F160" s="432"/>
      <c r="G160" s="433">
        <f t="shared" si="22"/>
        <v>29382.288141592933</v>
      </c>
      <c r="H160" s="434">
        <f t="shared" si="23"/>
        <v>3.5498225088745538E-3</v>
      </c>
      <c r="I160" s="433">
        <f t="shared" si="24"/>
        <v>1428.0949694375956</v>
      </c>
      <c r="J160" s="433">
        <f t="shared" si="25"/>
        <v>357.02374235939891</v>
      </c>
      <c r="K160" s="433">
        <f t="shared" si="26"/>
        <v>1071.0712270781967</v>
      </c>
      <c r="L160" s="433">
        <f t="shared" si="27"/>
        <v>283.99999999999994</v>
      </c>
      <c r="M160" s="435"/>
      <c r="N160" s="433"/>
      <c r="O160" s="436">
        <f>+VLOOKUP(C160,Pop_ISTAT!$A$10:$J$273,10,FALSE)</f>
        <v>6148</v>
      </c>
      <c r="P160" s="435"/>
      <c r="Q160" s="459">
        <f t="shared" si="30"/>
        <v>6148</v>
      </c>
      <c r="R160" s="429">
        <v>142</v>
      </c>
      <c r="S160" s="350">
        <f t="shared" si="28"/>
        <v>0</v>
      </c>
      <c r="T160" s="350">
        <f t="shared" si="29"/>
        <v>1428.0949694375956</v>
      </c>
    </row>
    <row r="161" spans="1:20" outlineLevel="3">
      <c r="A161" s="429">
        <v>146</v>
      </c>
      <c r="B161" s="429" t="s">
        <v>311</v>
      </c>
      <c r="C161" s="429" t="s">
        <v>456</v>
      </c>
      <c r="D161" s="430">
        <v>3748</v>
      </c>
      <c r="E161" s="429">
        <v>4.7E-2</v>
      </c>
      <c r="F161" s="432"/>
      <c r="G161" s="433">
        <f t="shared" si="22"/>
        <v>19450.247079646029</v>
      </c>
      <c r="H161" s="434">
        <f t="shared" si="23"/>
        <v>2.3498825058747052E-3</v>
      </c>
      <c r="I161" s="433">
        <f t="shared" si="24"/>
        <v>934.60798768152756</v>
      </c>
      <c r="J161" s="433">
        <f t="shared" si="25"/>
        <v>233.65199692038189</v>
      </c>
      <c r="K161" s="433">
        <f t="shared" si="26"/>
        <v>700.9559907611457</v>
      </c>
      <c r="L161" s="433">
        <f t="shared" si="27"/>
        <v>188</v>
      </c>
      <c r="M161" s="435"/>
      <c r="N161" s="433"/>
      <c r="O161" s="436">
        <f>+VLOOKUP(C161,Pop_ISTAT!$A$10:$J$273,10,FALSE)</f>
        <v>6079</v>
      </c>
      <c r="P161" s="435"/>
      <c r="Q161" s="459">
        <f t="shared" si="30"/>
        <v>6079</v>
      </c>
      <c r="R161" s="429">
        <v>143</v>
      </c>
      <c r="S161" s="350">
        <f t="shared" si="28"/>
        <v>0</v>
      </c>
      <c r="T161" s="350">
        <f t="shared" si="29"/>
        <v>934.60798768152756</v>
      </c>
    </row>
    <row r="162" spans="1:20" outlineLevel="3">
      <c r="A162" s="429">
        <v>136</v>
      </c>
      <c r="B162" s="429" t="s">
        <v>311</v>
      </c>
      <c r="C162" s="429" t="s">
        <v>446</v>
      </c>
      <c r="D162" s="430">
        <v>4010</v>
      </c>
      <c r="E162" s="429">
        <v>0.05</v>
      </c>
      <c r="F162" s="432"/>
      <c r="G162" s="433">
        <f t="shared" si="22"/>
        <v>20691.75221238939</v>
      </c>
      <c r="H162" s="434">
        <f t="shared" si="23"/>
        <v>2.499875006249686E-3</v>
      </c>
      <c r="I162" s="433">
        <f t="shared" si="24"/>
        <v>999.94077657495347</v>
      </c>
      <c r="J162" s="433">
        <f t="shared" si="25"/>
        <v>249.98519414373837</v>
      </c>
      <c r="K162" s="433">
        <f t="shared" si="26"/>
        <v>749.95558243121513</v>
      </c>
      <c r="L162" s="433">
        <f t="shared" si="27"/>
        <v>200</v>
      </c>
      <c r="M162" s="435"/>
      <c r="N162" s="433"/>
      <c r="O162" s="436">
        <f>+VLOOKUP(C162,Pop_ISTAT!$A$10:$J$273,10,FALSE)</f>
        <v>6047</v>
      </c>
      <c r="P162" s="435"/>
      <c r="Q162" s="459">
        <f t="shared" si="30"/>
        <v>6047</v>
      </c>
      <c r="R162" s="429">
        <v>144</v>
      </c>
      <c r="S162" s="350">
        <f t="shared" si="28"/>
        <v>0</v>
      </c>
      <c r="T162" s="350">
        <f t="shared" si="29"/>
        <v>999.94077657495347</v>
      </c>
    </row>
    <row r="163" spans="1:20" outlineLevel="3">
      <c r="A163" s="429">
        <v>129</v>
      </c>
      <c r="B163" s="429" t="s">
        <v>311</v>
      </c>
      <c r="C163" s="429" t="s">
        <v>439</v>
      </c>
      <c r="D163" s="430">
        <v>4347</v>
      </c>
      <c r="E163" s="429">
        <v>5.3999999999999999E-2</v>
      </c>
      <c r="F163" s="432"/>
      <c r="G163" s="433">
        <f t="shared" si="22"/>
        <v>22347.092389380541</v>
      </c>
      <c r="H163" s="434">
        <f t="shared" si="23"/>
        <v>2.6998650067496608E-3</v>
      </c>
      <c r="I163" s="433">
        <f t="shared" si="24"/>
        <v>1083.9756996935967</v>
      </c>
      <c r="J163" s="433">
        <f t="shared" si="25"/>
        <v>270.99392492339916</v>
      </c>
      <c r="K163" s="433">
        <f t="shared" si="26"/>
        <v>812.98177477019749</v>
      </c>
      <c r="L163" s="433">
        <f t="shared" si="27"/>
        <v>216</v>
      </c>
      <c r="M163" s="435"/>
      <c r="N163" s="433"/>
      <c r="O163" s="436">
        <f>+VLOOKUP(C163,Pop_ISTAT!$A$10:$J$273,10,FALSE)</f>
        <v>5981</v>
      </c>
      <c r="P163" s="435"/>
      <c r="Q163" s="459">
        <f t="shared" si="30"/>
        <v>5981</v>
      </c>
      <c r="R163" s="429">
        <v>145</v>
      </c>
      <c r="S163" s="350">
        <f t="shared" si="28"/>
        <v>0</v>
      </c>
      <c r="T163" s="350">
        <f t="shared" si="29"/>
        <v>1083.9756996935967</v>
      </c>
    </row>
    <row r="164" spans="1:20" outlineLevel="3">
      <c r="A164" s="429">
        <v>149</v>
      </c>
      <c r="B164" s="429" t="s">
        <v>315</v>
      </c>
      <c r="C164" s="429" t="s">
        <v>459</v>
      </c>
      <c r="D164" s="430">
        <v>3702</v>
      </c>
      <c r="E164" s="429">
        <v>4.5999999999999999E-2</v>
      </c>
      <c r="F164" s="432"/>
      <c r="G164" s="433">
        <f t="shared" si="22"/>
        <v>19036.41203539824</v>
      </c>
      <c r="H164" s="434">
        <f t="shared" si="23"/>
        <v>2.2998850057497112E-3</v>
      </c>
      <c r="I164" s="433">
        <f t="shared" si="24"/>
        <v>923.13734535672768</v>
      </c>
      <c r="J164" s="433">
        <f t="shared" si="25"/>
        <v>230.78433633918192</v>
      </c>
      <c r="K164" s="433">
        <f t="shared" si="26"/>
        <v>692.35300901754579</v>
      </c>
      <c r="L164" s="433">
        <f t="shared" si="27"/>
        <v>184</v>
      </c>
      <c r="M164" s="435"/>
      <c r="N164" s="433"/>
      <c r="O164" s="436">
        <f>+VLOOKUP(C164,Pop_ISTAT!$A$10:$J$273,10,FALSE)</f>
        <v>5955</v>
      </c>
      <c r="P164" s="435"/>
      <c r="Q164" s="459">
        <f t="shared" si="30"/>
        <v>5955</v>
      </c>
      <c r="R164" s="429">
        <v>146</v>
      </c>
      <c r="S164" s="350">
        <f t="shared" si="28"/>
        <v>0</v>
      </c>
      <c r="T164" s="350">
        <f t="shared" si="29"/>
        <v>923.13734535672768</v>
      </c>
    </row>
    <row r="165" spans="1:20" outlineLevel="3">
      <c r="A165" s="429">
        <v>140</v>
      </c>
      <c r="B165" s="429" t="s">
        <v>306</v>
      </c>
      <c r="C165" s="429" t="s">
        <v>450</v>
      </c>
      <c r="D165" s="430">
        <v>3830</v>
      </c>
      <c r="E165" s="429">
        <v>4.8000000000000001E-2</v>
      </c>
      <c r="F165" s="432"/>
      <c r="G165" s="433">
        <f t="shared" si="22"/>
        <v>19864.082123893819</v>
      </c>
      <c r="H165" s="434">
        <f t="shared" si="23"/>
        <v>2.3998800059996991E-3</v>
      </c>
      <c r="I165" s="433">
        <f t="shared" si="24"/>
        <v>955.05565443443186</v>
      </c>
      <c r="J165" s="433">
        <f t="shared" si="25"/>
        <v>238.76391360860796</v>
      </c>
      <c r="K165" s="433">
        <f t="shared" si="26"/>
        <v>716.29174082582392</v>
      </c>
      <c r="L165" s="433">
        <f t="shared" si="27"/>
        <v>192</v>
      </c>
      <c r="M165" s="435"/>
      <c r="N165" s="433"/>
      <c r="O165" s="436">
        <f>+VLOOKUP(C165,Pop_ISTAT!$A$10:$J$273,10,FALSE)</f>
        <v>5907</v>
      </c>
      <c r="P165" s="435"/>
      <c r="Q165" s="459">
        <f t="shared" si="30"/>
        <v>5907</v>
      </c>
      <c r="R165" s="429">
        <v>147</v>
      </c>
      <c r="S165" s="350">
        <f t="shared" si="28"/>
        <v>0</v>
      </c>
      <c r="T165" s="350">
        <f t="shared" si="29"/>
        <v>955.05565443443186</v>
      </c>
    </row>
    <row r="166" spans="1:20" outlineLevel="3">
      <c r="A166" s="429">
        <v>176</v>
      </c>
      <c r="B166" s="429" t="s">
        <v>309</v>
      </c>
      <c r="C166" s="429" t="s">
        <v>486</v>
      </c>
      <c r="D166" s="430">
        <v>2970</v>
      </c>
      <c r="E166" s="429">
        <v>3.6999999999999998E-2</v>
      </c>
      <c r="F166" s="432"/>
      <c r="G166" s="433">
        <f t="shared" si="22"/>
        <v>15311.896637168149</v>
      </c>
      <c r="H166" s="434">
        <f t="shared" si="23"/>
        <v>1.8499075046247676E-3</v>
      </c>
      <c r="I166" s="433">
        <f t="shared" si="24"/>
        <v>740.60451531860645</v>
      </c>
      <c r="J166" s="433">
        <f t="shared" si="25"/>
        <v>185.15112882965161</v>
      </c>
      <c r="K166" s="433">
        <f t="shared" si="26"/>
        <v>555.45338648895483</v>
      </c>
      <c r="L166" s="433">
        <f t="shared" si="27"/>
        <v>148</v>
      </c>
      <c r="M166" s="435"/>
      <c r="N166" s="433"/>
      <c r="O166" s="436">
        <f>+VLOOKUP(C166,Pop_ISTAT!$A$10:$J$273,10,FALSE)</f>
        <v>5875</v>
      </c>
      <c r="P166" s="435"/>
      <c r="Q166" s="459">
        <f t="shared" si="30"/>
        <v>5875</v>
      </c>
      <c r="R166" s="429">
        <v>148</v>
      </c>
      <c r="S166" s="350">
        <f t="shared" si="28"/>
        <v>0</v>
      </c>
      <c r="T166" s="350">
        <f t="shared" si="29"/>
        <v>740.60451531860645</v>
      </c>
    </row>
    <row r="167" spans="1:20" outlineLevel="3">
      <c r="A167" s="429">
        <v>161</v>
      </c>
      <c r="B167" s="429" t="s">
        <v>313</v>
      </c>
      <c r="C167" s="429" t="s">
        <v>471</v>
      </c>
      <c r="D167" s="430">
        <v>3325</v>
      </c>
      <c r="E167" s="429">
        <v>4.1000000000000002E-2</v>
      </c>
      <c r="F167" s="432"/>
      <c r="G167" s="433">
        <f t="shared" si="22"/>
        <v>16967.236814159303</v>
      </c>
      <c r="H167" s="434">
        <f t="shared" si="23"/>
        <v>2.049897505124743E-3</v>
      </c>
      <c r="I167" s="433">
        <f t="shared" si="24"/>
        <v>829.12795065130183</v>
      </c>
      <c r="J167" s="433">
        <f t="shared" si="25"/>
        <v>207.28198766282546</v>
      </c>
      <c r="K167" s="433">
        <f t="shared" si="26"/>
        <v>621.84596298847634</v>
      </c>
      <c r="L167" s="433">
        <f t="shared" si="27"/>
        <v>164</v>
      </c>
      <c r="M167" s="435"/>
      <c r="N167" s="433"/>
      <c r="O167" s="436">
        <f>+VLOOKUP(C167,Pop_ISTAT!$A$10:$J$273,10,FALSE)</f>
        <v>5824</v>
      </c>
      <c r="P167" s="435"/>
      <c r="Q167" s="459">
        <f t="shared" si="30"/>
        <v>5824</v>
      </c>
      <c r="R167" s="429">
        <v>149</v>
      </c>
      <c r="S167" s="350">
        <f t="shared" si="28"/>
        <v>0</v>
      </c>
      <c r="T167" s="350">
        <f t="shared" si="29"/>
        <v>829.12795065130183</v>
      </c>
    </row>
    <row r="168" spans="1:20" outlineLevel="3">
      <c r="A168" s="450">
        <v>206</v>
      </c>
      <c r="B168" s="450" t="s">
        <v>306</v>
      </c>
      <c r="C168" s="450" t="s">
        <v>515</v>
      </c>
      <c r="D168" s="451">
        <v>2160</v>
      </c>
      <c r="E168" s="450">
        <v>2.7E-2</v>
      </c>
      <c r="F168" s="452"/>
      <c r="G168" s="453">
        <f t="shared" si="22"/>
        <v>11173.546194690271</v>
      </c>
      <c r="H168" s="454">
        <f t="shared" si="23"/>
        <v>1.3499325033748304E-3</v>
      </c>
      <c r="I168" s="453">
        <f t="shared" si="24"/>
        <v>538.62146568625928</v>
      </c>
      <c r="J168" s="453">
        <f t="shared" si="25"/>
        <v>134.65536642156482</v>
      </c>
      <c r="K168" s="453">
        <f t="shared" si="26"/>
        <v>403.96609926469444</v>
      </c>
      <c r="L168" s="453">
        <f t="shared" si="27"/>
        <v>108</v>
      </c>
      <c r="M168" s="455" t="s">
        <v>623</v>
      </c>
      <c r="N168" s="453">
        <v>10000</v>
      </c>
      <c r="O168" s="456">
        <f>+VLOOKUP(C168,Pop_ISTAT!$A$10:$J$273,10,FALSE)</f>
        <v>5783</v>
      </c>
      <c r="P168" s="457">
        <f>+O168</f>
        <v>5783</v>
      </c>
      <c r="Q168" s="455"/>
      <c r="R168" s="450">
        <v>150</v>
      </c>
      <c r="S168" s="389">
        <f t="shared" si="28"/>
        <v>538.62146568625928</v>
      </c>
      <c r="T168" s="389">
        <f t="shared" si="29"/>
        <v>0</v>
      </c>
    </row>
    <row r="169" spans="1:20" outlineLevel="3">
      <c r="A169" s="439">
        <v>200</v>
      </c>
      <c r="B169" s="439" t="s">
        <v>309</v>
      </c>
      <c r="C169" s="439" t="s">
        <v>509</v>
      </c>
      <c r="D169" s="440">
        <v>2255</v>
      </c>
      <c r="E169" s="439">
        <v>2.8000000000000001E-2</v>
      </c>
      <c r="F169" s="441" t="s">
        <v>619</v>
      </c>
      <c r="G169" s="442">
        <f t="shared" si="22"/>
        <v>11587.38123893806</v>
      </c>
      <c r="H169" s="443">
        <f t="shared" si="23"/>
        <v>1.3999300034998243E-3</v>
      </c>
      <c r="I169" s="442">
        <f t="shared" si="24"/>
        <v>562.31083570486783</v>
      </c>
      <c r="J169" s="442">
        <f t="shared" si="25"/>
        <v>140.57770892621696</v>
      </c>
      <c r="K169" s="442">
        <f t="shared" si="26"/>
        <v>421.7331267786509</v>
      </c>
      <c r="L169" s="442">
        <f t="shared" si="27"/>
        <v>112</v>
      </c>
      <c r="M169" s="444"/>
      <c r="N169" s="442"/>
      <c r="O169" s="445">
        <f>+VLOOKUP(C169,Pop_ISTAT!$A$10:$J$273,10,FALSE)</f>
        <v>5772</v>
      </c>
      <c r="P169" s="444"/>
      <c r="Q169" s="446">
        <f>+O169</f>
        <v>5772</v>
      </c>
      <c r="R169" s="439">
        <v>151</v>
      </c>
      <c r="S169" s="380">
        <f t="shared" si="28"/>
        <v>0</v>
      </c>
      <c r="T169" s="380">
        <f t="shared" si="29"/>
        <v>562.31083570486783</v>
      </c>
    </row>
    <row r="170" spans="1:20" outlineLevel="3">
      <c r="A170" s="429">
        <v>119</v>
      </c>
      <c r="B170" s="429" t="s">
        <v>311</v>
      </c>
      <c r="C170" s="429" t="s">
        <v>429</v>
      </c>
      <c r="D170" s="430">
        <v>4615</v>
      </c>
      <c r="E170" s="429">
        <v>5.8000000000000003E-2</v>
      </c>
      <c r="F170" s="432"/>
      <c r="G170" s="433">
        <f t="shared" si="22"/>
        <v>24002.432566371695</v>
      </c>
      <c r="H170" s="434">
        <f t="shared" si="23"/>
        <v>2.899855007249636E-3</v>
      </c>
      <c r="I170" s="433">
        <f t="shared" si="24"/>
        <v>1150.8046593250399</v>
      </c>
      <c r="J170" s="433">
        <f t="shared" si="25"/>
        <v>287.70116483125997</v>
      </c>
      <c r="K170" s="433">
        <f t="shared" si="26"/>
        <v>863.10349449377986</v>
      </c>
      <c r="L170" s="433">
        <f t="shared" si="27"/>
        <v>232</v>
      </c>
      <c r="M170" s="435"/>
      <c r="N170" s="433"/>
      <c r="O170" s="436">
        <f>+VLOOKUP(C170,Pop_ISTAT!$A$10:$J$273,10,FALSE)</f>
        <v>5746</v>
      </c>
      <c r="P170" s="435"/>
      <c r="Q170" s="459">
        <f t="shared" ref="Q170:Q178" si="31">+O170</f>
        <v>5746</v>
      </c>
      <c r="R170" s="429">
        <v>152</v>
      </c>
      <c r="S170" s="350">
        <f t="shared" si="28"/>
        <v>0</v>
      </c>
      <c r="T170" s="350">
        <f t="shared" si="29"/>
        <v>1150.8046593250399</v>
      </c>
    </row>
    <row r="171" spans="1:20" outlineLevel="3">
      <c r="A171" s="429">
        <v>163</v>
      </c>
      <c r="B171" s="429" t="s">
        <v>309</v>
      </c>
      <c r="C171" s="429" t="s">
        <v>473</v>
      </c>
      <c r="D171" s="430">
        <v>3257</v>
      </c>
      <c r="E171" s="429">
        <v>4.1000000000000002E-2</v>
      </c>
      <c r="F171" s="432"/>
      <c r="G171" s="433">
        <f t="shared" si="22"/>
        <v>16967.236814159303</v>
      </c>
      <c r="H171" s="434">
        <f t="shared" si="23"/>
        <v>2.049897505124743E-3</v>
      </c>
      <c r="I171" s="433">
        <f t="shared" si="24"/>
        <v>812.17134895377148</v>
      </c>
      <c r="J171" s="433">
        <f t="shared" si="25"/>
        <v>203.04283723844287</v>
      </c>
      <c r="K171" s="433">
        <f t="shared" si="26"/>
        <v>609.12851171532861</v>
      </c>
      <c r="L171" s="433">
        <f t="shared" si="27"/>
        <v>164</v>
      </c>
      <c r="M171" s="435"/>
      <c r="N171" s="433"/>
      <c r="O171" s="436">
        <f>+VLOOKUP(C171,Pop_ISTAT!$A$10:$J$273,10,FALSE)</f>
        <v>5680</v>
      </c>
      <c r="P171" s="435"/>
      <c r="Q171" s="459">
        <f t="shared" si="31"/>
        <v>5680</v>
      </c>
      <c r="R171" s="429">
        <v>153</v>
      </c>
      <c r="S171" s="350">
        <f t="shared" si="28"/>
        <v>0</v>
      </c>
      <c r="T171" s="350">
        <f t="shared" si="29"/>
        <v>812.17134895377148</v>
      </c>
    </row>
    <row r="172" spans="1:20" outlineLevel="3">
      <c r="A172" s="429">
        <v>205</v>
      </c>
      <c r="B172" s="429" t="s">
        <v>311</v>
      </c>
      <c r="C172" s="429" t="s">
        <v>514</v>
      </c>
      <c r="D172" s="430">
        <v>2165</v>
      </c>
      <c r="E172" s="429">
        <v>2.7E-2</v>
      </c>
      <c r="F172" s="432"/>
      <c r="G172" s="433">
        <f t="shared" si="22"/>
        <v>11173.546194690271</v>
      </c>
      <c r="H172" s="434">
        <f t="shared" si="23"/>
        <v>1.3499325033748304E-3</v>
      </c>
      <c r="I172" s="433">
        <f t="shared" si="24"/>
        <v>539.86827463460702</v>
      </c>
      <c r="J172" s="433">
        <f t="shared" si="25"/>
        <v>134.96706865865175</v>
      </c>
      <c r="K172" s="433">
        <f t="shared" si="26"/>
        <v>404.90120597595524</v>
      </c>
      <c r="L172" s="433">
        <f t="shared" si="27"/>
        <v>108</v>
      </c>
      <c r="M172" s="435"/>
      <c r="N172" s="433"/>
      <c r="O172" s="436">
        <f>+VLOOKUP(C172,Pop_ISTAT!$A$10:$J$273,10,FALSE)</f>
        <v>5662</v>
      </c>
      <c r="P172" s="435"/>
      <c r="Q172" s="459">
        <f t="shared" si="31"/>
        <v>5662</v>
      </c>
      <c r="R172" s="429">
        <v>154</v>
      </c>
      <c r="S172" s="350">
        <f t="shared" si="28"/>
        <v>0</v>
      </c>
      <c r="T172" s="350">
        <f t="shared" si="29"/>
        <v>539.86827463460702</v>
      </c>
    </row>
    <row r="173" spans="1:20" outlineLevel="3">
      <c r="A173" s="429">
        <v>73</v>
      </c>
      <c r="B173" s="429" t="s">
        <v>311</v>
      </c>
      <c r="C173" s="429" t="s">
        <v>383</v>
      </c>
      <c r="D173" s="430">
        <v>6641</v>
      </c>
      <c r="E173" s="429">
        <v>8.3000000000000004E-2</v>
      </c>
      <c r="F173" s="432"/>
      <c r="G173" s="433">
        <f t="shared" si="22"/>
        <v>34348.308672566396</v>
      </c>
      <c r="H173" s="434">
        <f t="shared" si="23"/>
        <v>4.1497925103744799E-3</v>
      </c>
      <c r="I173" s="433">
        <f t="shared" si="24"/>
        <v>1656.0116451955776</v>
      </c>
      <c r="J173" s="433">
        <f t="shared" si="25"/>
        <v>414.00291129889439</v>
      </c>
      <c r="K173" s="433">
        <f t="shared" si="26"/>
        <v>1242.0087338966832</v>
      </c>
      <c r="L173" s="433">
        <f t="shared" si="27"/>
        <v>332</v>
      </c>
      <c r="M173" s="435"/>
      <c r="N173" s="433"/>
      <c r="O173" s="436">
        <f>+VLOOKUP(C173,Pop_ISTAT!$A$10:$J$273,10,FALSE)</f>
        <v>5551</v>
      </c>
      <c r="P173" s="435"/>
      <c r="Q173" s="459">
        <f t="shared" si="31"/>
        <v>5551</v>
      </c>
      <c r="R173" s="429">
        <v>155</v>
      </c>
      <c r="S173" s="350">
        <f t="shared" si="28"/>
        <v>0</v>
      </c>
      <c r="T173" s="350">
        <f t="shared" si="29"/>
        <v>1656.0116451955776</v>
      </c>
    </row>
    <row r="174" spans="1:20" outlineLevel="3">
      <c r="A174" s="429">
        <v>38</v>
      </c>
      <c r="B174" s="429" t="s">
        <v>311</v>
      </c>
      <c r="C174" s="429" t="s">
        <v>347</v>
      </c>
      <c r="D174" s="430">
        <v>9876</v>
      </c>
      <c r="E174" s="429">
        <v>0.123</v>
      </c>
      <c r="F174" s="432"/>
      <c r="G174" s="433">
        <f t="shared" si="22"/>
        <v>50901.710442477903</v>
      </c>
      <c r="H174" s="434">
        <f t="shared" si="23"/>
        <v>6.1496925153742277E-3</v>
      </c>
      <c r="I174" s="433">
        <f t="shared" si="24"/>
        <v>2462.6970347766187</v>
      </c>
      <c r="J174" s="433">
        <f t="shared" si="25"/>
        <v>615.67425869415467</v>
      </c>
      <c r="K174" s="433">
        <f t="shared" si="26"/>
        <v>1847.0227760824641</v>
      </c>
      <c r="L174" s="433">
        <f t="shared" si="27"/>
        <v>492</v>
      </c>
      <c r="M174" s="435"/>
      <c r="N174" s="433"/>
      <c r="O174" s="436">
        <f>+VLOOKUP(C174,Pop_ISTAT!$A$10:$J$273,10,FALSE)</f>
        <v>5538</v>
      </c>
      <c r="P174" s="435"/>
      <c r="Q174" s="459">
        <f t="shared" si="31"/>
        <v>5538</v>
      </c>
      <c r="R174" s="429">
        <v>156</v>
      </c>
      <c r="S174" s="350">
        <f t="shared" si="28"/>
        <v>0</v>
      </c>
      <c r="T174" s="350">
        <f t="shared" si="29"/>
        <v>2462.6970347766187</v>
      </c>
    </row>
    <row r="175" spans="1:20" outlineLevel="3">
      <c r="A175" s="429">
        <v>153</v>
      </c>
      <c r="B175" s="429" t="s">
        <v>311</v>
      </c>
      <c r="C175" s="429" t="s">
        <v>463</v>
      </c>
      <c r="D175" s="430">
        <v>3553</v>
      </c>
      <c r="E175" s="429">
        <v>4.3999999999999997E-2</v>
      </c>
      <c r="F175" s="432"/>
      <c r="G175" s="433">
        <f t="shared" si="22"/>
        <v>18208.741946902664</v>
      </c>
      <c r="H175" s="434">
        <f t="shared" si="23"/>
        <v>2.1998900054997239E-3</v>
      </c>
      <c r="I175" s="433">
        <f t="shared" si="24"/>
        <v>885.98243869596251</v>
      </c>
      <c r="J175" s="433">
        <f t="shared" si="25"/>
        <v>221.49560967399063</v>
      </c>
      <c r="K175" s="433">
        <f t="shared" si="26"/>
        <v>664.48682902197186</v>
      </c>
      <c r="L175" s="433">
        <f t="shared" si="27"/>
        <v>176</v>
      </c>
      <c r="M175" s="435"/>
      <c r="N175" s="433"/>
      <c r="O175" s="436">
        <f>+VLOOKUP(C175,Pop_ISTAT!$A$10:$J$273,10,FALSE)</f>
        <v>5525</v>
      </c>
      <c r="P175" s="435"/>
      <c r="Q175" s="459">
        <f t="shared" si="31"/>
        <v>5525</v>
      </c>
      <c r="R175" s="429">
        <v>157</v>
      </c>
      <c r="S175" s="350">
        <f t="shared" si="28"/>
        <v>0</v>
      </c>
      <c r="T175" s="350">
        <f t="shared" si="29"/>
        <v>885.98243869596251</v>
      </c>
    </row>
    <row r="176" spans="1:20" outlineLevel="3" collapsed="1">
      <c r="A176" s="429">
        <v>151</v>
      </c>
      <c r="B176" s="429" t="s">
        <v>311</v>
      </c>
      <c r="C176" s="429" t="s">
        <v>461</v>
      </c>
      <c r="D176" s="430">
        <v>3685</v>
      </c>
      <c r="E176" s="429">
        <v>4.5999999999999999E-2</v>
      </c>
      <c r="F176" s="432"/>
      <c r="G176" s="433">
        <f t="shared" si="22"/>
        <v>19036.41203539824</v>
      </c>
      <c r="H176" s="434">
        <f t="shared" si="23"/>
        <v>2.2998850057497112E-3</v>
      </c>
      <c r="I176" s="433">
        <f t="shared" si="24"/>
        <v>918.89819493234506</v>
      </c>
      <c r="J176" s="433">
        <f t="shared" si="25"/>
        <v>229.72454873308627</v>
      </c>
      <c r="K176" s="433">
        <f t="shared" si="26"/>
        <v>689.17364619925877</v>
      </c>
      <c r="L176" s="433">
        <f t="shared" si="27"/>
        <v>184</v>
      </c>
      <c r="M176" s="435"/>
      <c r="N176" s="433"/>
      <c r="O176" s="436">
        <f>+VLOOKUP(C176,Pop_ISTAT!$A$10:$J$273,10,FALSE)</f>
        <v>5504</v>
      </c>
      <c r="P176" s="435"/>
      <c r="Q176" s="459">
        <f t="shared" si="31"/>
        <v>5504</v>
      </c>
      <c r="R176" s="429">
        <v>158</v>
      </c>
      <c r="S176" s="350">
        <f t="shared" si="28"/>
        <v>0</v>
      </c>
      <c r="T176" s="350">
        <f t="shared" si="29"/>
        <v>918.89819493234506</v>
      </c>
    </row>
    <row r="177" spans="1:20" outlineLevel="3">
      <c r="A177" s="429">
        <v>165</v>
      </c>
      <c r="B177" s="429" t="s">
        <v>311</v>
      </c>
      <c r="C177" s="429" t="s">
        <v>475</v>
      </c>
      <c r="D177" s="430">
        <v>3217</v>
      </c>
      <c r="E177" s="429">
        <v>0.04</v>
      </c>
      <c r="F177" s="432"/>
      <c r="G177" s="433">
        <f t="shared" si="22"/>
        <v>16553.401769911514</v>
      </c>
      <c r="H177" s="434">
        <f t="shared" si="23"/>
        <v>1.9999000049997491E-3</v>
      </c>
      <c r="I177" s="433">
        <f t="shared" si="24"/>
        <v>802.19687736698882</v>
      </c>
      <c r="J177" s="433">
        <f t="shared" si="25"/>
        <v>200.5492193417472</v>
      </c>
      <c r="K177" s="433">
        <f t="shared" si="26"/>
        <v>601.64765802524164</v>
      </c>
      <c r="L177" s="433">
        <f t="shared" si="27"/>
        <v>160</v>
      </c>
      <c r="M177" s="435"/>
      <c r="N177" s="433"/>
      <c r="O177" s="436">
        <f>+VLOOKUP(C177,Pop_ISTAT!$A$10:$J$273,10,FALSE)</f>
        <v>5370</v>
      </c>
      <c r="P177" s="435"/>
      <c r="Q177" s="459">
        <f t="shared" si="31"/>
        <v>5370</v>
      </c>
      <c r="R177" s="429">
        <v>159</v>
      </c>
      <c r="S177" s="350">
        <f t="shared" si="28"/>
        <v>0</v>
      </c>
      <c r="T177" s="350">
        <f t="shared" si="29"/>
        <v>802.19687736698882</v>
      </c>
    </row>
    <row r="178" spans="1:20" outlineLevel="3" collapsed="1">
      <c r="A178" s="429">
        <v>189</v>
      </c>
      <c r="B178" s="429" t="s">
        <v>309</v>
      </c>
      <c r="C178" s="429" t="s">
        <v>499</v>
      </c>
      <c r="D178" s="430">
        <v>2540</v>
      </c>
      <c r="E178" s="429">
        <v>3.2000000000000001E-2</v>
      </c>
      <c r="F178" s="432"/>
      <c r="G178" s="433">
        <f t="shared" si="22"/>
        <v>13242.721415929213</v>
      </c>
      <c r="H178" s="434">
        <f t="shared" si="23"/>
        <v>1.5999200039997993E-3</v>
      </c>
      <c r="I178" s="433">
        <f t="shared" si="24"/>
        <v>633.37894576069368</v>
      </c>
      <c r="J178" s="433">
        <f t="shared" si="25"/>
        <v>158.34473644017342</v>
      </c>
      <c r="K178" s="433">
        <f t="shared" si="26"/>
        <v>475.03420932052029</v>
      </c>
      <c r="L178" s="433">
        <f t="shared" si="27"/>
        <v>128</v>
      </c>
      <c r="M178" s="435"/>
      <c r="N178" s="433"/>
      <c r="O178" s="436">
        <f>+VLOOKUP(C178,Pop_ISTAT!$A$10:$J$273,10,FALSE)</f>
        <v>5357</v>
      </c>
      <c r="P178" s="435"/>
      <c r="Q178" s="459">
        <f t="shared" si="31"/>
        <v>5357</v>
      </c>
      <c r="R178" s="429">
        <v>160</v>
      </c>
      <c r="S178" s="350">
        <f t="shared" si="28"/>
        <v>0</v>
      </c>
      <c r="T178" s="350">
        <f t="shared" si="29"/>
        <v>633.37894576069368</v>
      </c>
    </row>
    <row r="179" spans="1:20" outlineLevel="3">
      <c r="A179" s="439">
        <v>174</v>
      </c>
      <c r="B179" s="439" t="s">
        <v>309</v>
      </c>
      <c r="C179" s="439" t="s">
        <v>484</v>
      </c>
      <c r="D179" s="440">
        <v>2982</v>
      </c>
      <c r="E179" s="439">
        <v>3.6999999999999998E-2</v>
      </c>
      <c r="F179" s="441" t="s">
        <v>619</v>
      </c>
      <c r="G179" s="442">
        <f t="shared" si="22"/>
        <v>15311.896637168149</v>
      </c>
      <c r="H179" s="443">
        <f t="shared" si="23"/>
        <v>1.8499075046247676E-3</v>
      </c>
      <c r="I179" s="442">
        <f t="shared" si="24"/>
        <v>743.59685679464121</v>
      </c>
      <c r="J179" s="442">
        <f t="shared" si="25"/>
        <v>185.8992141986603</v>
      </c>
      <c r="K179" s="442">
        <f t="shared" si="26"/>
        <v>557.69764259598094</v>
      </c>
      <c r="L179" s="442">
        <f t="shared" si="27"/>
        <v>148</v>
      </c>
      <c r="M179" s="444"/>
      <c r="N179" s="442"/>
      <c r="O179" s="445">
        <f>+VLOOKUP(C179,Pop_ISTAT!$A$10:$J$273,10,FALSE)</f>
        <v>5351</v>
      </c>
      <c r="P179" s="444"/>
      <c r="Q179" s="446">
        <f>+O179</f>
        <v>5351</v>
      </c>
      <c r="R179" s="439">
        <v>161</v>
      </c>
      <c r="S179" s="380">
        <f t="shared" si="28"/>
        <v>0</v>
      </c>
      <c r="T179" s="380">
        <f t="shared" si="29"/>
        <v>743.59685679464121</v>
      </c>
    </row>
    <row r="180" spans="1:20" outlineLevel="3">
      <c r="A180" s="429">
        <v>150</v>
      </c>
      <c r="B180" s="429" t="s">
        <v>311</v>
      </c>
      <c r="C180" s="429" t="s">
        <v>460</v>
      </c>
      <c r="D180" s="430">
        <v>3696</v>
      </c>
      <c r="E180" s="429">
        <v>4.5999999999999999E-2</v>
      </c>
      <c r="F180" s="432"/>
      <c r="G180" s="433">
        <f t="shared" si="22"/>
        <v>19036.41203539824</v>
      </c>
      <c r="H180" s="434">
        <f t="shared" si="23"/>
        <v>2.2998850057497112E-3</v>
      </c>
      <c r="I180" s="433">
        <f t="shared" si="24"/>
        <v>921.64117461871024</v>
      </c>
      <c r="J180" s="433">
        <f t="shared" si="25"/>
        <v>230.41029365467756</v>
      </c>
      <c r="K180" s="433">
        <f t="shared" si="26"/>
        <v>691.23088096403262</v>
      </c>
      <c r="L180" s="433">
        <f t="shared" si="27"/>
        <v>184</v>
      </c>
      <c r="M180" s="435"/>
      <c r="N180" s="433"/>
      <c r="O180" s="436">
        <f>+VLOOKUP(C180,Pop_ISTAT!$A$10:$J$273,10,FALSE)</f>
        <v>5304</v>
      </c>
      <c r="P180" s="435"/>
      <c r="Q180" s="459">
        <f t="shared" ref="Q180:Q214" si="32">+O180</f>
        <v>5304</v>
      </c>
      <c r="R180" s="429">
        <v>162</v>
      </c>
      <c r="S180" s="350">
        <f t="shared" si="28"/>
        <v>0</v>
      </c>
      <c r="T180" s="350">
        <f t="shared" si="29"/>
        <v>921.64117461871024</v>
      </c>
    </row>
    <row r="181" spans="1:20" outlineLevel="3">
      <c r="A181" s="429">
        <v>88</v>
      </c>
      <c r="B181" s="429" t="s">
        <v>315</v>
      </c>
      <c r="C181" s="429" t="s">
        <v>398</v>
      </c>
      <c r="D181" s="430">
        <v>5909</v>
      </c>
      <c r="E181" s="429">
        <v>7.3999999999999996E-2</v>
      </c>
      <c r="F181" s="432"/>
      <c r="G181" s="433">
        <f t="shared" si="22"/>
        <v>30623.793274336298</v>
      </c>
      <c r="H181" s="434">
        <f t="shared" si="23"/>
        <v>3.6998150092495351E-3</v>
      </c>
      <c r="I181" s="433">
        <f t="shared" si="24"/>
        <v>1473.4788151574564</v>
      </c>
      <c r="J181" s="433">
        <f t="shared" si="25"/>
        <v>368.36970378936411</v>
      </c>
      <c r="K181" s="433">
        <f t="shared" si="26"/>
        <v>1105.1091113680923</v>
      </c>
      <c r="L181" s="433">
        <f t="shared" si="27"/>
        <v>296</v>
      </c>
      <c r="M181" s="435"/>
      <c r="N181" s="433"/>
      <c r="O181" s="436">
        <f>+VLOOKUP(C181,Pop_ISTAT!$A$10:$J$273,10,FALSE)</f>
        <v>5298</v>
      </c>
      <c r="P181" s="435"/>
      <c r="Q181" s="459">
        <f t="shared" si="32"/>
        <v>5298</v>
      </c>
      <c r="R181" s="429">
        <v>163</v>
      </c>
      <c r="S181" s="350">
        <f t="shared" si="28"/>
        <v>0</v>
      </c>
      <c r="T181" s="350">
        <f t="shared" si="29"/>
        <v>1473.4788151574564</v>
      </c>
    </row>
    <row r="182" spans="1:20" outlineLevel="3">
      <c r="A182" s="429">
        <v>96</v>
      </c>
      <c r="B182" s="429" t="s">
        <v>307</v>
      </c>
      <c r="C182" s="429" t="s">
        <v>406</v>
      </c>
      <c r="D182" s="430">
        <v>5593</v>
      </c>
      <c r="E182" s="429">
        <v>7.0000000000000007E-2</v>
      </c>
      <c r="F182" s="432"/>
      <c r="G182" s="433">
        <f t="shared" si="22"/>
        <v>28968.453097345147</v>
      </c>
      <c r="H182" s="434">
        <f t="shared" si="23"/>
        <v>3.4998250087495603E-3</v>
      </c>
      <c r="I182" s="433">
        <f t="shared" si="24"/>
        <v>1394.6804896218741</v>
      </c>
      <c r="J182" s="433">
        <f t="shared" si="25"/>
        <v>348.67012240546853</v>
      </c>
      <c r="K182" s="433">
        <f t="shared" si="26"/>
        <v>1046.0103672164055</v>
      </c>
      <c r="L182" s="433">
        <f t="shared" si="27"/>
        <v>280.00000000000006</v>
      </c>
      <c r="M182" s="435"/>
      <c r="N182" s="433"/>
      <c r="O182" s="436">
        <f>+VLOOKUP(C182,Pop_ISTAT!$A$10:$J$273,10,FALSE)</f>
        <v>5210</v>
      </c>
      <c r="P182" s="435"/>
      <c r="Q182" s="459">
        <f t="shared" si="32"/>
        <v>5210</v>
      </c>
      <c r="R182" s="429">
        <v>164</v>
      </c>
      <c r="S182" s="350">
        <f t="shared" si="28"/>
        <v>0</v>
      </c>
      <c r="T182" s="350">
        <f t="shared" si="29"/>
        <v>1394.6804896218741</v>
      </c>
    </row>
    <row r="183" spans="1:20" outlineLevel="3">
      <c r="A183" s="429">
        <v>125</v>
      </c>
      <c r="B183" s="429" t="s">
        <v>307</v>
      </c>
      <c r="C183" s="429" t="s">
        <v>435</v>
      </c>
      <c r="D183" s="430">
        <v>4417</v>
      </c>
      <c r="E183" s="429">
        <v>5.5E-2</v>
      </c>
      <c r="F183" s="432"/>
      <c r="G183" s="433">
        <f t="shared" si="22"/>
        <v>22760.927433628331</v>
      </c>
      <c r="H183" s="434">
        <f t="shared" si="23"/>
        <v>2.7498625068746547E-3</v>
      </c>
      <c r="I183" s="433">
        <f t="shared" si="24"/>
        <v>1101.4310249704663</v>
      </c>
      <c r="J183" s="433">
        <f t="shared" si="25"/>
        <v>275.35775624261657</v>
      </c>
      <c r="K183" s="433">
        <f t="shared" si="26"/>
        <v>826.07326872784972</v>
      </c>
      <c r="L183" s="433">
        <f t="shared" si="27"/>
        <v>220</v>
      </c>
      <c r="M183" s="435"/>
      <c r="N183" s="433"/>
      <c r="O183" s="436">
        <f>+VLOOKUP(C183,Pop_ISTAT!$A$10:$J$273,10,FALSE)</f>
        <v>5186</v>
      </c>
      <c r="P183" s="435"/>
      <c r="Q183" s="459">
        <f t="shared" si="32"/>
        <v>5186</v>
      </c>
      <c r="R183" s="429">
        <v>165</v>
      </c>
      <c r="S183" s="350">
        <f t="shared" si="28"/>
        <v>0</v>
      </c>
      <c r="T183" s="350">
        <f t="shared" si="29"/>
        <v>1101.4310249704663</v>
      </c>
    </row>
    <row r="184" spans="1:20" outlineLevel="3">
      <c r="A184" s="429">
        <v>171</v>
      </c>
      <c r="B184" s="429" t="s">
        <v>311</v>
      </c>
      <c r="C184" s="429" t="s">
        <v>481</v>
      </c>
      <c r="D184" s="430">
        <v>3098</v>
      </c>
      <c r="E184" s="429">
        <v>3.9E-2</v>
      </c>
      <c r="F184" s="432"/>
      <c r="G184" s="433">
        <f t="shared" si="22"/>
        <v>16139.566725663724</v>
      </c>
      <c r="H184" s="434">
        <f t="shared" si="23"/>
        <v>1.949902504874755E-3</v>
      </c>
      <c r="I184" s="433">
        <f t="shared" si="24"/>
        <v>772.52282439631074</v>
      </c>
      <c r="J184" s="433">
        <f t="shared" si="25"/>
        <v>193.13070609907768</v>
      </c>
      <c r="K184" s="433">
        <f t="shared" si="26"/>
        <v>579.39211829723308</v>
      </c>
      <c r="L184" s="433">
        <f t="shared" si="27"/>
        <v>156</v>
      </c>
      <c r="M184" s="435"/>
      <c r="N184" s="433"/>
      <c r="O184" s="436">
        <f>+VLOOKUP(C184,Pop_ISTAT!$A$10:$J$273,10,FALSE)</f>
        <v>5100</v>
      </c>
      <c r="P184" s="435"/>
      <c r="Q184" s="459">
        <f t="shared" si="32"/>
        <v>5100</v>
      </c>
      <c r="R184" s="429">
        <v>166</v>
      </c>
      <c r="S184" s="350">
        <f t="shared" si="28"/>
        <v>0</v>
      </c>
      <c r="T184" s="350">
        <f t="shared" si="29"/>
        <v>772.52282439631074</v>
      </c>
    </row>
    <row r="185" spans="1:20" outlineLevel="3">
      <c r="A185" s="429">
        <v>90</v>
      </c>
      <c r="B185" s="429" t="s">
        <v>311</v>
      </c>
      <c r="C185" s="429" t="s">
        <v>400</v>
      </c>
      <c r="D185" s="430">
        <v>5820</v>
      </c>
      <c r="E185" s="429">
        <v>7.2999999999999995E-2</v>
      </c>
      <c r="F185" s="432"/>
      <c r="G185" s="433">
        <f t="shared" si="22"/>
        <v>30209.958230088512</v>
      </c>
      <c r="H185" s="434">
        <f t="shared" si="23"/>
        <v>3.6498175091245416E-3</v>
      </c>
      <c r="I185" s="433">
        <f t="shared" si="24"/>
        <v>1451.2856158768652</v>
      </c>
      <c r="J185" s="433">
        <f t="shared" si="25"/>
        <v>362.82140396921631</v>
      </c>
      <c r="K185" s="433">
        <f t="shared" si="26"/>
        <v>1088.4642119076489</v>
      </c>
      <c r="L185" s="433">
        <f t="shared" si="27"/>
        <v>291.99999999999994</v>
      </c>
      <c r="M185" s="435"/>
      <c r="N185" s="433"/>
      <c r="O185" s="436">
        <f>+VLOOKUP(C185,Pop_ISTAT!$A$10:$J$273,10,FALSE)</f>
        <v>5082</v>
      </c>
      <c r="P185" s="435"/>
      <c r="Q185" s="459">
        <f t="shared" si="32"/>
        <v>5082</v>
      </c>
      <c r="R185" s="429">
        <v>167</v>
      </c>
      <c r="S185" s="350">
        <f t="shared" si="28"/>
        <v>0</v>
      </c>
      <c r="T185" s="350">
        <f t="shared" si="29"/>
        <v>1451.2856158768652</v>
      </c>
    </row>
    <row r="186" spans="1:20" outlineLevel="3">
      <c r="A186" s="429">
        <v>179</v>
      </c>
      <c r="B186" s="429" t="s">
        <v>311</v>
      </c>
      <c r="C186" s="429" t="s">
        <v>489</v>
      </c>
      <c r="D186" s="430">
        <v>2912</v>
      </c>
      <c r="E186" s="429">
        <v>3.5999999999999997E-2</v>
      </c>
      <c r="F186" s="432"/>
      <c r="G186" s="433">
        <f t="shared" si="22"/>
        <v>14898.06159292036</v>
      </c>
      <c r="H186" s="434">
        <f t="shared" si="23"/>
        <v>1.7999100044997737E-3</v>
      </c>
      <c r="I186" s="433">
        <f t="shared" si="24"/>
        <v>726.14153151777168</v>
      </c>
      <c r="J186" s="433">
        <f t="shared" si="25"/>
        <v>181.53538287944292</v>
      </c>
      <c r="K186" s="433">
        <f t="shared" si="26"/>
        <v>544.6061486383287</v>
      </c>
      <c r="L186" s="433">
        <f t="shared" si="27"/>
        <v>143.99999999999997</v>
      </c>
      <c r="M186" s="435"/>
      <c r="N186" s="433"/>
      <c r="O186" s="436">
        <f>+VLOOKUP(C186,Pop_ISTAT!$A$10:$J$273,10,FALSE)</f>
        <v>5071</v>
      </c>
      <c r="P186" s="435"/>
      <c r="Q186" s="459">
        <f t="shared" si="32"/>
        <v>5071</v>
      </c>
      <c r="R186" s="429">
        <v>168</v>
      </c>
      <c r="S186" s="350">
        <f t="shared" si="28"/>
        <v>0</v>
      </c>
      <c r="T186" s="350">
        <f t="shared" si="29"/>
        <v>726.14153151777168</v>
      </c>
    </row>
    <row r="187" spans="1:20" outlineLevel="3">
      <c r="A187" s="429">
        <v>169</v>
      </c>
      <c r="B187" s="429" t="s">
        <v>311</v>
      </c>
      <c r="C187" s="429" t="s">
        <v>479</v>
      </c>
      <c r="D187" s="430">
        <v>3122</v>
      </c>
      <c r="E187" s="429">
        <v>3.9E-2</v>
      </c>
      <c r="F187" s="432"/>
      <c r="G187" s="433">
        <f t="shared" si="22"/>
        <v>16139.566725663724</v>
      </c>
      <c r="H187" s="434">
        <f t="shared" si="23"/>
        <v>1.949902504874755E-3</v>
      </c>
      <c r="I187" s="433">
        <f t="shared" si="24"/>
        <v>778.50750734838027</v>
      </c>
      <c r="J187" s="433">
        <f t="shared" si="25"/>
        <v>194.62687683709507</v>
      </c>
      <c r="K187" s="433">
        <f t="shared" si="26"/>
        <v>583.88063051128518</v>
      </c>
      <c r="L187" s="433">
        <f t="shared" si="27"/>
        <v>156</v>
      </c>
      <c r="M187" s="435"/>
      <c r="N187" s="433"/>
      <c r="O187" s="436">
        <f>+VLOOKUP(C187,Pop_ISTAT!$A$10:$J$273,10,FALSE)</f>
        <v>5025</v>
      </c>
      <c r="P187" s="435"/>
      <c r="Q187" s="459">
        <f t="shared" si="32"/>
        <v>5025</v>
      </c>
      <c r="R187" s="429">
        <v>169</v>
      </c>
      <c r="S187" s="350">
        <f t="shared" si="28"/>
        <v>0</v>
      </c>
      <c r="T187" s="350">
        <f t="shared" si="29"/>
        <v>778.50750734838027</v>
      </c>
    </row>
    <row r="188" spans="1:20" outlineLevel="3">
      <c r="A188" s="429">
        <v>197</v>
      </c>
      <c r="B188" s="429" t="s">
        <v>307</v>
      </c>
      <c r="C188" s="429" t="s">
        <v>506</v>
      </c>
      <c r="D188" s="430">
        <v>2388</v>
      </c>
      <c r="E188" s="429">
        <v>0.03</v>
      </c>
      <c r="F188" s="432"/>
      <c r="G188" s="433">
        <f t="shared" si="22"/>
        <v>12415.051327433635</v>
      </c>
      <c r="H188" s="434">
        <f t="shared" si="23"/>
        <v>1.4999250037498117E-3</v>
      </c>
      <c r="I188" s="433">
        <f t="shared" si="24"/>
        <v>595.47595373091997</v>
      </c>
      <c r="J188" s="433">
        <f t="shared" si="25"/>
        <v>148.86898843272999</v>
      </c>
      <c r="K188" s="433">
        <f t="shared" si="26"/>
        <v>446.60696529818995</v>
      </c>
      <c r="L188" s="433">
        <f t="shared" si="27"/>
        <v>120</v>
      </c>
      <c r="M188" s="435"/>
      <c r="N188" s="433"/>
      <c r="O188" s="436">
        <f>+VLOOKUP(C188,Pop_ISTAT!$A$10:$J$273,10,FALSE)</f>
        <v>4923</v>
      </c>
      <c r="P188" s="435"/>
      <c r="Q188" s="460">
        <f t="shared" si="32"/>
        <v>4923</v>
      </c>
      <c r="R188" s="429">
        <v>170</v>
      </c>
      <c r="S188" s="350">
        <f t="shared" si="28"/>
        <v>0</v>
      </c>
      <c r="T188" s="350">
        <f t="shared" si="29"/>
        <v>595.47595373091997</v>
      </c>
    </row>
    <row r="189" spans="1:20" outlineLevel="3">
      <c r="A189" s="429">
        <v>190</v>
      </c>
      <c r="B189" s="429" t="s">
        <v>311</v>
      </c>
      <c r="C189" s="429" t="s">
        <v>500</v>
      </c>
      <c r="D189" s="430">
        <v>2525</v>
      </c>
      <c r="E189" s="429">
        <v>3.1E-2</v>
      </c>
      <c r="F189" s="432"/>
      <c r="G189" s="433">
        <f t="shared" si="22"/>
        <v>12828.886371681423</v>
      </c>
      <c r="H189" s="434">
        <f t="shared" si="23"/>
        <v>1.5499225038748054E-3</v>
      </c>
      <c r="I189" s="433">
        <f t="shared" si="24"/>
        <v>629.63851891565025</v>
      </c>
      <c r="J189" s="433">
        <f t="shared" si="25"/>
        <v>157.40962972891256</v>
      </c>
      <c r="K189" s="433">
        <f t="shared" si="26"/>
        <v>472.22888918673766</v>
      </c>
      <c r="L189" s="433">
        <f t="shared" si="27"/>
        <v>124</v>
      </c>
      <c r="M189" s="435"/>
      <c r="N189" s="433"/>
      <c r="O189" s="436">
        <f>+VLOOKUP(C189,Pop_ISTAT!$A$10:$J$273,10,FALSE)</f>
        <v>4815</v>
      </c>
      <c r="P189" s="435"/>
      <c r="Q189" s="460">
        <f t="shared" si="32"/>
        <v>4815</v>
      </c>
      <c r="R189" s="429">
        <v>171</v>
      </c>
      <c r="S189" s="350">
        <f t="shared" si="28"/>
        <v>0</v>
      </c>
      <c r="T189" s="350">
        <f t="shared" si="29"/>
        <v>629.63851891565025</v>
      </c>
    </row>
    <row r="190" spans="1:20" outlineLevel="3">
      <c r="A190" s="429">
        <v>155</v>
      </c>
      <c r="B190" s="429" t="s">
        <v>311</v>
      </c>
      <c r="C190" s="429" t="s">
        <v>465</v>
      </c>
      <c r="D190" s="430">
        <v>3447</v>
      </c>
      <c r="E190" s="429">
        <v>4.2999999999999997E-2</v>
      </c>
      <c r="F190" s="432"/>
      <c r="G190" s="433">
        <f t="shared" si="22"/>
        <v>17794.906902654875</v>
      </c>
      <c r="H190" s="434">
        <f t="shared" si="23"/>
        <v>2.1498925053747299E-3</v>
      </c>
      <c r="I190" s="433">
        <f t="shared" si="24"/>
        <v>859.55008899098868</v>
      </c>
      <c r="J190" s="433">
        <f t="shared" si="25"/>
        <v>214.88752224774717</v>
      </c>
      <c r="K190" s="433">
        <f t="shared" si="26"/>
        <v>644.66256674324154</v>
      </c>
      <c r="L190" s="433">
        <f t="shared" si="27"/>
        <v>172</v>
      </c>
      <c r="M190" s="435"/>
      <c r="N190" s="433"/>
      <c r="O190" s="436">
        <f>+VLOOKUP(C190,Pop_ISTAT!$A$10:$J$273,10,FALSE)</f>
        <v>4811</v>
      </c>
      <c r="P190" s="435"/>
      <c r="Q190" s="460">
        <f t="shared" si="32"/>
        <v>4811</v>
      </c>
      <c r="R190" s="429">
        <v>172</v>
      </c>
      <c r="S190" s="350">
        <f t="shared" si="28"/>
        <v>0</v>
      </c>
      <c r="T190" s="350">
        <f t="shared" si="29"/>
        <v>859.55008899098868</v>
      </c>
    </row>
    <row r="191" spans="1:20" outlineLevel="3">
      <c r="A191" s="429">
        <v>186</v>
      </c>
      <c r="B191" s="429" t="s">
        <v>311</v>
      </c>
      <c r="C191" s="429" t="s">
        <v>496</v>
      </c>
      <c r="D191" s="430">
        <v>2617</v>
      </c>
      <c r="E191" s="429">
        <v>3.3000000000000002E-2</v>
      </c>
      <c r="F191" s="432"/>
      <c r="G191" s="433">
        <f t="shared" si="22"/>
        <v>13656.556460177</v>
      </c>
      <c r="H191" s="434">
        <f t="shared" si="23"/>
        <v>1.649917504124793E-3</v>
      </c>
      <c r="I191" s="433">
        <f t="shared" si="24"/>
        <v>652.57980356525024</v>
      </c>
      <c r="J191" s="433">
        <f t="shared" si="25"/>
        <v>163.14495089131256</v>
      </c>
      <c r="K191" s="433">
        <f t="shared" si="26"/>
        <v>489.43485267393771</v>
      </c>
      <c r="L191" s="433">
        <f t="shared" si="27"/>
        <v>132</v>
      </c>
      <c r="M191" s="435"/>
      <c r="N191" s="433"/>
      <c r="O191" s="436">
        <f>+VLOOKUP(C191,Pop_ISTAT!$A$10:$J$273,10,FALSE)</f>
        <v>4641</v>
      </c>
      <c r="P191" s="435"/>
      <c r="Q191" s="460">
        <f t="shared" si="32"/>
        <v>4641</v>
      </c>
      <c r="R191" s="429">
        <v>173</v>
      </c>
      <c r="S191" s="350">
        <f t="shared" si="28"/>
        <v>0</v>
      </c>
      <c r="T191" s="350">
        <f t="shared" si="29"/>
        <v>652.57980356525024</v>
      </c>
    </row>
    <row r="192" spans="1:20" outlineLevel="3">
      <c r="A192" s="429">
        <v>86</v>
      </c>
      <c r="B192" s="429" t="s">
        <v>311</v>
      </c>
      <c r="C192" s="429" t="s">
        <v>396</v>
      </c>
      <c r="D192" s="430">
        <v>5973</v>
      </c>
      <c r="E192" s="429">
        <v>7.3999999999999996E-2</v>
      </c>
      <c r="F192" s="432"/>
      <c r="G192" s="433">
        <f t="shared" si="22"/>
        <v>30623.793274336298</v>
      </c>
      <c r="H192" s="434">
        <f t="shared" si="23"/>
        <v>3.6998150092495351E-3</v>
      </c>
      <c r="I192" s="433">
        <f t="shared" si="24"/>
        <v>1489.4379696963085</v>
      </c>
      <c r="J192" s="433">
        <f t="shared" si="25"/>
        <v>372.35949242407713</v>
      </c>
      <c r="K192" s="433">
        <f t="shared" si="26"/>
        <v>1117.0784772722313</v>
      </c>
      <c r="L192" s="433">
        <f t="shared" si="27"/>
        <v>296</v>
      </c>
      <c r="M192" s="435"/>
      <c r="N192" s="433"/>
      <c r="O192" s="436">
        <f>+VLOOKUP(C192,Pop_ISTAT!$A$10:$J$273,10,FALSE)</f>
        <v>4543</v>
      </c>
      <c r="P192" s="435"/>
      <c r="Q192" s="460">
        <f t="shared" si="32"/>
        <v>4543</v>
      </c>
      <c r="R192" s="429">
        <v>174</v>
      </c>
      <c r="S192" s="350">
        <f t="shared" si="28"/>
        <v>0</v>
      </c>
      <c r="T192" s="350">
        <f t="shared" si="29"/>
        <v>1489.4379696963085</v>
      </c>
    </row>
    <row r="193" spans="1:20" outlineLevel="3">
      <c r="A193" s="429">
        <v>148</v>
      </c>
      <c r="B193" s="429" t="s">
        <v>311</v>
      </c>
      <c r="C193" s="429" t="s">
        <v>458</v>
      </c>
      <c r="D193" s="430">
        <v>3740</v>
      </c>
      <c r="E193" s="429">
        <v>4.7E-2</v>
      </c>
      <c r="F193" s="432"/>
      <c r="G193" s="433">
        <f t="shared" si="22"/>
        <v>19450.247079646029</v>
      </c>
      <c r="H193" s="434">
        <f t="shared" si="23"/>
        <v>2.3498825058747052E-3</v>
      </c>
      <c r="I193" s="433">
        <f t="shared" si="24"/>
        <v>932.61309336417105</v>
      </c>
      <c r="J193" s="433">
        <f t="shared" si="25"/>
        <v>233.15327334104276</v>
      </c>
      <c r="K193" s="433">
        <f t="shared" si="26"/>
        <v>699.45982002312826</v>
      </c>
      <c r="L193" s="433">
        <f t="shared" si="27"/>
        <v>188</v>
      </c>
      <c r="M193" s="435"/>
      <c r="N193" s="433"/>
      <c r="O193" s="436">
        <f>+VLOOKUP(C193,Pop_ISTAT!$A$10:$J$273,10,FALSE)</f>
        <v>4503</v>
      </c>
      <c r="P193" s="435"/>
      <c r="Q193" s="460">
        <f t="shared" si="32"/>
        <v>4503</v>
      </c>
      <c r="R193" s="429">
        <v>175</v>
      </c>
      <c r="S193" s="350">
        <f t="shared" si="28"/>
        <v>0</v>
      </c>
      <c r="T193" s="350">
        <f t="shared" si="29"/>
        <v>932.61309336417105</v>
      </c>
    </row>
    <row r="194" spans="1:20" outlineLevel="3">
      <c r="A194" s="429">
        <v>127</v>
      </c>
      <c r="B194" s="429" t="s">
        <v>311</v>
      </c>
      <c r="C194" s="429" t="s">
        <v>437</v>
      </c>
      <c r="D194" s="430">
        <v>4361</v>
      </c>
      <c r="E194" s="429">
        <v>5.3999999999999999E-2</v>
      </c>
      <c r="F194" s="432"/>
      <c r="G194" s="433">
        <f t="shared" si="22"/>
        <v>22347.092389380541</v>
      </c>
      <c r="H194" s="434">
        <f t="shared" si="23"/>
        <v>2.6998650067496608E-3</v>
      </c>
      <c r="I194" s="433">
        <f t="shared" si="24"/>
        <v>1087.4667647489707</v>
      </c>
      <c r="J194" s="433">
        <f t="shared" si="25"/>
        <v>271.86669118724268</v>
      </c>
      <c r="K194" s="433">
        <f t="shared" si="26"/>
        <v>815.6000735617281</v>
      </c>
      <c r="L194" s="433">
        <f t="shared" si="27"/>
        <v>216</v>
      </c>
      <c r="M194" s="435"/>
      <c r="N194" s="433"/>
      <c r="O194" s="436">
        <f>+VLOOKUP(C194,Pop_ISTAT!$A$10:$J$273,10,FALSE)</f>
        <v>4429</v>
      </c>
      <c r="P194" s="435"/>
      <c r="Q194" s="460">
        <f t="shared" si="32"/>
        <v>4429</v>
      </c>
      <c r="R194" s="429">
        <v>176</v>
      </c>
      <c r="S194" s="350">
        <f t="shared" si="28"/>
        <v>0</v>
      </c>
      <c r="T194" s="350">
        <f t="shared" si="29"/>
        <v>1087.4667647489707</v>
      </c>
    </row>
    <row r="195" spans="1:20" outlineLevel="3">
      <c r="A195" s="429">
        <v>157</v>
      </c>
      <c r="B195" s="429" t="s">
        <v>311</v>
      </c>
      <c r="C195" s="429" t="s">
        <v>467</v>
      </c>
      <c r="D195" s="430">
        <v>3415</v>
      </c>
      <c r="E195" s="429">
        <v>4.2999999999999997E-2</v>
      </c>
      <c r="F195" s="432"/>
      <c r="G195" s="433">
        <f t="shared" si="22"/>
        <v>17794.906902654875</v>
      </c>
      <c r="H195" s="434">
        <f t="shared" si="23"/>
        <v>2.1498925053747299E-3</v>
      </c>
      <c r="I195" s="433">
        <f t="shared" si="24"/>
        <v>851.57051172156264</v>
      </c>
      <c r="J195" s="433">
        <f t="shared" si="25"/>
        <v>212.89262793039066</v>
      </c>
      <c r="K195" s="433">
        <f t="shared" si="26"/>
        <v>638.67788379117201</v>
      </c>
      <c r="L195" s="433">
        <f t="shared" si="27"/>
        <v>172</v>
      </c>
      <c r="M195" s="435"/>
      <c r="N195" s="433"/>
      <c r="O195" s="436">
        <f>+VLOOKUP(C195,Pop_ISTAT!$A$10:$J$273,10,FALSE)</f>
        <v>4319</v>
      </c>
      <c r="P195" s="435"/>
      <c r="Q195" s="460">
        <f t="shared" si="32"/>
        <v>4319</v>
      </c>
      <c r="R195" s="429">
        <v>177</v>
      </c>
      <c r="S195" s="350">
        <f t="shared" si="28"/>
        <v>0</v>
      </c>
      <c r="T195" s="350">
        <f t="shared" si="29"/>
        <v>851.57051172156264</v>
      </c>
    </row>
    <row r="196" spans="1:20" outlineLevel="3">
      <c r="A196" s="429">
        <v>202</v>
      </c>
      <c r="B196" s="429" t="s">
        <v>309</v>
      </c>
      <c r="C196" s="429" t="s">
        <v>511</v>
      </c>
      <c r="D196" s="430">
        <v>2203</v>
      </c>
      <c r="E196" s="429">
        <v>2.7E-2</v>
      </c>
      <c r="F196" s="432"/>
      <c r="G196" s="433">
        <f t="shared" si="22"/>
        <v>11173.546194690271</v>
      </c>
      <c r="H196" s="434">
        <f t="shared" si="23"/>
        <v>1.3499325033748304E-3</v>
      </c>
      <c r="I196" s="433">
        <f t="shared" si="24"/>
        <v>549.3440226420505</v>
      </c>
      <c r="J196" s="433">
        <f t="shared" si="25"/>
        <v>137.33600566051263</v>
      </c>
      <c r="K196" s="433">
        <f t="shared" si="26"/>
        <v>412.00801698153788</v>
      </c>
      <c r="L196" s="433">
        <f t="shared" si="27"/>
        <v>108</v>
      </c>
      <c r="M196" s="435"/>
      <c r="N196" s="433"/>
      <c r="O196" s="436">
        <f>+VLOOKUP(C196,Pop_ISTAT!$A$10:$J$273,10,FALSE)</f>
        <v>4270</v>
      </c>
      <c r="P196" s="435"/>
      <c r="Q196" s="460">
        <f t="shared" si="32"/>
        <v>4270</v>
      </c>
      <c r="R196" s="429">
        <v>178</v>
      </c>
      <c r="S196" s="350">
        <f t="shared" si="28"/>
        <v>0</v>
      </c>
      <c r="T196" s="350">
        <f t="shared" si="29"/>
        <v>549.3440226420505</v>
      </c>
    </row>
    <row r="197" spans="1:20" outlineLevel="3">
      <c r="A197" s="429">
        <v>178</v>
      </c>
      <c r="B197" s="429" t="s">
        <v>307</v>
      </c>
      <c r="C197" s="429" t="s">
        <v>488</v>
      </c>
      <c r="D197" s="430">
        <v>2930</v>
      </c>
      <c r="E197" s="429">
        <v>3.6999999999999998E-2</v>
      </c>
      <c r="F197" s="432"/>
      <c r="G197" s="433">
        <f t="shared" si="22"/>
        <v>15311.896637168149</v>
      </c>
      <c r="H197" s="434">
        <f t="shared" si="23"/>
        <v>1.8499075046247676E-3</v>
      </c>
      <c r="I197" s="433">
        <f t="shared" si="24"/>
        <v>730.63004373182389</v>
      </c>
      <c r="J197" s="433">
        <f t="shared" si="25"/>
        <v>182.65751093295597</v>
      </c>
      <c r="K197" s="433">
        <f t="shared" si="26"/>
        <v>547.97253279886786</v>
      </c>
      <c r="L197" s="433">
        <f t="shared" si="27"/>
        <v>148</v>
      </c>
      <c r="M197" s="435"/>
      <c r="N197" s="433"/>
      <c r="O197" s="436">
        <f>+VLOOKUP(C197,Pop_ISTAT!$A$10:$J$273,10,FALSE)</f>
        <v>4084</v>
      </c>
      <c r="P197" s="435"/>
      <c r="Q197" s="460">
        <f t="shared" si="32"/>
        <v>4084</v>
      </c>
      <c r="R197" s="429">
        <v>179</v>
      </c>
      <c r="S197" s="350">
        <f t="shared" si="28"/>
        <v>0</v>
      </c>
      <c r="T197" s="350">
        <f t="shared" si="29"/>
        <v>730.63004373182389</v>
      </c>
    </row>
    <row r="198" spans="1:20" outlineLevel="3">
      <c r="A198" s="429">
        <v>193</v>
      </c>
      <c r="B198" s="429" t="s">
        <v>309</v>
      </c>
      <c r="C198" s="429" t="s">
        <v>503</v>
      </c>
      <c r="D198" s="430">
        <v>2472</v>
      </c>
      <c r="E198" s="429">
        <v>3.1E-2</v>
      </c>
      <c r="F198" s="432"/>
      <c r="G198" s="433">
        <f t="shared" si="22"/>
        <v>12828.886371681423</v>
      </c>
      <c r="H198" s="434">
        <f t="shared" si="23"/>
        <v>1.5499225038748054E-3</v>
      </c>
      <c r="I198" s="433">
        <f t="shared" si="24"/>
        <v>616.42234406316334</v>
      </c>
      <c r="J198" s="433">
        <f t="shared" si="25"/>
        <v>154.10558601579083</v>
      </c>
      <c r="K198" s="433">
        <f t="shared" si="26"/>
        <v>462.3167580473725</v>
      </c>
      <c r="L198" s="433">
        <f t="shared" si="27"/>
        <v>124</v>
      </c>
      <c r="M198" s="435"/>
      <c r="N198" s="433"/>
      <c r="O198" s="436">
        <f>+VLOOKUP(C198,Pop_ISTAT!$A$10:$J$273,10,FALSE)</f>
        <v>4075</v>
      </c>
      <c r="P198" s="435"/>
      <c r="Q198" s="460">
        <f t="shared" si="32"/>
        <v>4075</v>
      </c>
      <c r="R198" s="429">
        <v>180</v>
      </c>
      <c r="S198" s="350">
        <f t="shared" si="28"/>
        <v>0</v>
      </c>
      <c r="T198" s="350">
        <f t="shared" si="29"/>
        <v>616.42234406316334</v>
      </c>
    </row>
    <row r="199" spans="1:20" outlineLevel="3">
      <c r="A199" s="429">
        <v>172</v>
      </c>
      <c r="B199" s="429" t="s">
        <v>311</v>
      </c>
      <c r="C199" s="429" t="s">
        <v>482</v>
      </c>
      <c r="D199" s="430">
        <v>3068</v>
      </c>
      <c r="E199" s="429">
        <v>3.7999999999999999E-2</v>
      </c>
      <c r="F199" s="432"/>
      <c r="G199" s="433">
        <f t="shared" si="22"/>
        <v>15725.731681415937</v>
      </c>
      <c r="H199" s="434">
        <f t="shared" si="23"/>
        <v>1.8999050047497613E-3</v>
      </c>
      <c r="I199" s="433">
        <f t="shared" si="24"/>
        <v>765.04197070622376</v>
      </c>
      <c r="J199" s="433">
        <f t="shared" si="25"/>
        <v>191.26049267655594</v>
      </c>
      <c r="K199" s="433">
        <f t="shared" si="26"/>
        <v>573.78147802966782</v>
      </c>
      <c r="L199" s="433">
        <f t="shared" si="27"/>
        <v>152</v>
      </c>
      <c r="M199" s="435"/>
      <c r="N199" s="433"/>
      <c r="O199" s="436">
        <f>+VLOOKUP(C199,Pop_ISTAT!$A$10:$J$273,10,FALSE)</f>
        <v>4063</v>
      </c>
      <c r="P199" s="435"/>
      <c r="Q199" s="460">
        <f t="shared" si="32"/>
        <v>4063</v>
      </c>
      <c r="R199" s="429">
        <v>181</v>
      </c>
      <c r="S199" s="350">
        <f t="shared" si="28"/>
        <v>0</v>
      </c>
      <c r="T199" s="350">
        <f t="shared" si="29"/>
        <v>765.04197070622376</v>
      </c>
    </row>
    <row r="200" spans="1:20" outlineLevel="3">
      <c r="A200" s="429">
        <v>211</v>
      </c>
      <c r="B200" s="429" t="s">
        <v>311</v>
      </c>
      <c r="C200" s="429" t="s">
        <v>520</v>
      </c>
      <c r="D200" s="430">
        <v>1991</v>
      </c>
      <c r="E200" s="429">
        <v>2.5000000000000001E-2</v>
      </c>
      <c r="F200" s="432"/>
      <c r="G200" s="433">
        <f t="shared" si="22"/>
        <v>10345.876106194695</v>
      </c>
      <c r="H200" s="434">
        <f t="shared" si="23"/>
        <v>1.249937503124843E-3</v>
      </c>
      <c r="I200" s="433">
        <f t="shared" si="24"/>
        <v>496.47932323210284</v>
      </c>
      <c r="J200" s="433">
        <f t="shared" si="25"/>
        <v>124.11983080802571</v>
      </c>
      <c r="K200" s="433">
        <f t="shared" si="26"/>
        <v>372.35949242407713</v>
      </c>
      <c r="L200" s="433">
        <f t="shared" si="27"/>
        <v>100</v>
      </c>
      <c r="M200" s="435"/>
      <c r="N200" s="433"/>
      <c r="O200" s="436">
        <f>+VLOOKUP(C200,Pop_ISTAT!$A$10:$J$273,10,FALSE)</f>
        <v>3912</v>
      </c>
      <c r="P200" s="435"/>
      <c r="Q200" s="460">
        <f t="shared" si="32"/>
        <v>3912</v>
      </c>
      <c r="R200" s="429">
        <v>182</v>
      </c>
      <c r="S200" s="350">
        <f t="shared" si="28"/>
        <v>0</v>
      </c>
      <c r="T200" s="350">
        <f t="shared" si="29"/>
        <v>496.47932323210284</v>
      </c>
    </row>
    <row r="201" spans="1:20" outlineLevel="3">
      <c r="A201" s="429">
        <v>184</v>
      </c>
      <c r="B201" s="429" t="s">
        <v>311</v>
      </c>
      <c r="C201" s="429" t="s">
        <v>494</v>
      </c>
      <c r="D201" s="430">
        <v>2740</v>
      </c>
      <c r="E201" s="429">
        <v>3.4000000000000002E-2</v>
      </c>
      <c r="F201" s="432"/>
      <c r="G201" s="433">
        <f t="shared" si="22"/>
        <v>14070.39150442479</v>
      </c>
      <c r="H201" s="434">
        <f t="shared" si="23"/>
        <v>1.6999150042497869E-3</v>
      </c>
      <c r="I201" s="433">
        <f t="shared" si="24"/>
        <v>683.25130369460658</v>
      </c>
      <c r="J201" s="433">
        <f t="shared" si="25"/>
        <v>170.81282592365164</v>
      </c>
      <c r="K201" s="433">
        <f t="shared" si="26"/>
        <v>512.43847777095493</v>
      </c>
      <c r="L201" s="433">
        <f t="shared" si="27"/>
        <v>136.00000000000003</v>
      </c>
      <c r="M201" s="435"/>
      <c r="N201" s="433"/>
      <c r="O201" s="436">
        <f>+VLOOKUP(C201,Pop_ISTAT!$A$10:$J$273,10,FALSE)</f>
        <v>3843</v>
      </c>
      <c r="P201" s="435"/>
      <c r="Q201" s="460">
        <f t="shared" si="32"/>
        <v>3843</v>
      </c>
      <c r="R201" s="429">
        <v>183</v>
      </c>
      <c r="S201" s="350">
        <f t="shared" si="28"/>
        <v>0</v>
      </c>
      <c r="T201" s="350">
        <f t="shared" si="29"/>
        <v>683.25130369460658</v>
      </c>
    </row>
    <row r="202" spans="1:20" outlineLevel="3">
      <c r="A202" s="429">
        <v>181</v>
      </c>
      <c r="B202" s="429" t="s">
        <v>311</v>
      </c>
      <c r="C202" s="429" t="s">
        <v>491</v>
      </c>
      <c r="D202" s="430">
        <v>2874</v>
      </c>
      <c r="E202" s="429">
        <v>3.5999999999999997E-2</v>
      </c>
      <c r="F202" s="432"/>
      <c r="G202" s="433">
        <f t="shared" si="22"/>
        <v>14898.06159292036</v>
      </c>
      <c r="H202" s="434">
        <f t="shared" si="23"/>
        <v>1.7999100044997737E-3</v>
      </c>
      <c r="I202" s="433">
        <f t="shared" si="24"/>
        <v>716.66578351032831</v>
      </c>
      <c r="J202" s="433">
        <f t="shared" si="25"/>
        <v>179.16644587758208</v>
      </c>
      <c r="K202" s="433">
        <f t="shared" si="26"/>
        <v>537.49933763274623</v>
      </c>
      <c r="L202" s="433">
        <f t="shared" si="27"/>
        <v>143.99999999999997</v>
      </c>
      <c r="M202" s="435"/>
      <c r="N202" s="433"/>
      <c r="O202" s="436">
        <f>+VLOOKUP(C202,Pop_ISTAT!$A$10:$J$273,10,FALSE)</f>
        <v>3813</v>
      </c>
      <c r="P202" s="435"/>
      <c r="Q202" s="460">
        <f t="shared" si="32"/>
        <v>3813</v>
      </c>
      <c r="R202" s="429">
        <v>184</v>
      </c>
      <c r="S202" s="350">
        <f t="shared" si="28"/>
        <v>0</v>
      </c>
      <c r="T202" s="350">
        <f t="shared" si="29"/>
        <v>716.66578351032831</v>
      </c>
    </row>
    <row r="203" spans="1:20" outlineLevel="3">
      <c r="A203" s="429">
        <v>198</v>
      </c>
      <c r="B203" s="429" t="s">
        <v>309</v>
      </c>
      <c r="C203" s="429" t="s">
        <v>507</v>
      </c>
      <c r="D203" s="430">
        <v>2348</v>
      </c>
      <c r="E203" s="429">
        <v>2.9000000000000001E-2</v>
      </c>
      <c r="F203" s="432"/>
      <c r="G203" s="433">
        <f t="shared" si="22"/>
        <v>12001.216283185848</v>
      </c>
      <c r="H203" s="434">
        <f t="shared" si="23"/>
        <v>1.449927503624818E-3</v>
      </c>
      <c r="I203" s="433">
        <f t="shared" si="24"/>
        <v>585.5014821441373</v>
      </c>
      <c r="J203" s="433">
        <f t="shared" si="25"/>
        <v>146.37537053603432</v>
      </c>
      <c r="K203" s="433">
        <f t="shared" si="26"/>
        <v>439.12611160810297</v>
      </c>
      <c r="L203" s="433">
        <f t="shared" si="27"/>
        <v>116</v>
      </c>
      <c r="M203" s="435"/>
      <c r="N203" s="433"/>
      <c r="O203" s="436">
        <f>+VLOOKUP(C203,Pop_ISTAT!$A$10:$J$273,10,FALSE)</f>
        <v>3743</v>
      </c>
      <c r="P203" s="435"/>
      <c r="Q203" s="460">
        <f t="shared" si="32"/>
        <v>3743</v>
      </c>
      <c r="R203" s="429">
        <v>185</v>
      </c>
      <c r="S203" s="350">
        <f t="shared" si="28"/>
        <v>0</v>
      </c>
      <c r="T203" s="350">
        <f t="shared" si="29"/>
        <v>585.5014821441373</v>
      </c>
    </row>
    <row r="204" spans="1:20" outlineLevel="3">
      <c r="A204" s="429">
        <v>183</v>
      </c>
      <c r="B204" s="429" t="s">
        <v>311</v>
      </c>
      <c r="C204" s="429" t="s">
        <v>493</v>
      </c>
      <c r="D204" s="430">
        <v>2843</v>
      </c>
      <c r="E204" s="429">
        <v>3.5000000000000003E-2</v>
      </c>
      <c r="F204" s="432"/>
      <c r="G204" s="433">
        <f t="shared" si="22"/>
        <v>14484.226548672574</v>
      </c>
      <c r="H204" s="434">
        <f t="shared" si="23"/>
        <v>1.7499125043747802E-3</v>
      </c>
      <c r="I204" s="433">
        <f t="shared" si="24"/>
        <v>708.93556803057174</v>
      </c>
      <c r="J204" s="433">
        <f t="shared" si="25"/>
        <v>177.23389200764294</v>
      </c>
      <c r="K204" s="433">
        <f t="shared" si="26"/>
        <v>531.70167602292884</v>
      </c>
      <c r="L204" s="433">
        <f t="shared" si="27"/>
        <v>140.00000000000003</v>
      </c>
      <c r="M204" s="435"/>
      <c r="N204" s="433"/>
      <c r="O204" s="436">
        <f>+VLOOKUP(C204,Pop_ISTAT!$A$10:$J$273,10,FALSE)</f>
        <v>3648</v>
      </c>
      <c r="P204" s="435"/>
      <c r="Q204" s="460">
        <f t="shared" si="32"/>
        <v>3648</v>
      </c>
      <c r="R204" s="429">
        <v>186</v>
      </c>
      <c r="S204" s="350">
        <f t="shared" si="28"/>
        <v>0</v>
      </c>
      <c r="T204" s="350">
        <f t="shared" si="29"/>
        <v>708.93556803057174</v>
      </c>
    </row>
    <row r="205" spans="1:20" outlineLevel="3">
      <c r="A205" s="429">
        <v>195</v>
      </c>
      <c r="B205" s="429" t="s">
        <v>311</v>
      </c>
      <c r="C205" s="429" t="s">
        <v>899</v>
      </c>
      <c r="D205" s="430">
        <v>2467</v>
      </c>
      <c r="E205" s="429">
        <v>3.1E-2</v>
      </c>
      <c r="F205" s="432"/>
      <c r="G205" s="433">
        <f t="shared" si="22"/>
        <v>12828.886371681423</v>
      </c>
      <c r="H205" s="434">
        <f t="shared" si="23"/>
        <v>1.5499225038748054E-3</v>
      </c>
      <c r="I205" s="433">
        <f t="shared" si="24"/>
        <v>615.17553511481549</v>
      </c>
      <c r="J205" s="433">
        <f t="shared" si="25"/>
        <v>153.79388377870387</v>
      </c>
      <c r="K205" s="433">
        <f t="shared" si="26"/>
        <v>461.38165133611164</v>
      </c>
      <c r="L205" s="433">
        <f t="shared" si="27"/>
        <v>124</v>
      </c>
      <c r="M205" s="435"/>
      <c r="N205" s="433"/>
      <c r="O205" s="436">
        <f>+VLOOKUP(C205,Pop_ISTAT!$A$10:$J$273,10,FALSE)</f>
        <v>3630</v>
      </c>
      <c r="P205" s="435"/>
      <c r="Q205" s="460">
        <f t="shared" si="32"/>
        <v>3630</v>
      </c>
      <c r="R205" s="429">
        <v>187</v>
      </c>
      <c r="S205" s="350">
        <f t="shared" si="28"/>
        <v>0</v>
      </c>
      <c r="T205" s="350">
        <f t="shared" si="29"/>
        <v>615.17553511481549</v>
      </c>
    </row>
    <row r="206" spans="1:20" outlineLevel="3">
      <c r="A206" s="429">
        <v>187</v>
      </c>
      <c r="B206" s="429" t="s">
        <v>309</v>
      </c>
      <c r="C206" s="429" t="s">
        <v>497</v>
      </c>
      <c r="D206" s="430">
        <v>2600</v>
      </c>
      <c r="E206" s="429">
        <v>3.2000000000000001E-2</v>
      </c>
      <c r="F206" s="432"/>
      <c r="G206" s="433">
        <f t="shared" si="22"/>
        <v>13242.721415929213</v>
      </c>
      <c r="H206" s="434">
        <f t="shared" si="23"/>
        <v>1.5999200039997993E-3</v>
      </c>
      <c r="I206" s="433">
        <f t="shared" si="24"/>
        <v>648.34065314086763</v>
      </c>
      <c r="J206" s="433">
        <f t="shared" si="25"/>
        <v>162.08516328521691</v>
      </c>
      <c r="K206" s="433">
        <f t="shared" si="26"/>
        <v>486.25548985565069</v>
      </c>
      <c r="L206" s="433">
        <f t="shared" si="27"/>
        <v>128</v>
      </c>
      <c r="M206" s="435"/>
      <c r="N206" s="433"/>
      <c r="O206" s="436">
        <f>+VLOOKUP(C206,Pop_ISTAT!$A$10:$J$273,10,FALSE)</f>
        <v>3577</v>
      </c>
      <c r="P206" s="435"/>
      <c r="Q206" s="460">
        <f t="shared" si="32"/>
        <v>3577</v>
      </c>
      <c r="R206" s="429">
        <v>188</v>
      </c>
      <c r="S206" s="350">
        <f t="shared" si="28"/>
        <v>0</v>
      </c>
      <c r="T206" s="350">
        <f t="shared" si="29"/>
        <v>648.34065314086763</v>
      </c>
    </row>
    <row r="207" spans="1:20" outlineLevel="3">
      <c r="A207" s="429">
        <v>227</v>
      </c>
      <c r="B207" s="429" t="s">
        <v>309</v>
      </c>
      <c r="C207" s="429" t="s">
        <v>536</v>
      </c>
      <c r="D207" s="430">
        <v>1693</v>
      </c>
      <c r="E207" s="429">
        <v>2.1000000000000001E-2</v>
      </c>
      <c r="F207" s="432"/>
      <c r="G207" s="433">
        <f t="shared" si="22"/>
        <v>8690.5359292035446</v>
      </c>
      <c r="H207" s="434">
        <f t="shared" si="23"/>
        <v>1.0499475026248682E-3</v>
      </c>
      <c r="I207" s="433">
        <f t="shared" si="24"/>
        <v>422.16950991057263</v>
      </c>
      <c r="J207" s="433">
        <f t="shared" si="25"/>
        <v>105.54237747764316</v>
      </c>
      <c r="K207" s="433">
        <f t="shared" si="26"/>
        <v>316.62713243292944</v>
      </c>
      <c r="L207" s="433">
        <f t="shared" si="27"/>
        <v>84</v>
      </c>
      <c r="M207" s="435"/>
      <c r="N207" s="433"/>
      <c r="O207" s="436">
        <f>+VLOOKUP(C207,Pop_ISTAT!$A$10:$J$273,10,FALSE)</f>
        <v>3476</v>
      </c>
      <c r="P207" s="435"/>
      <c r="Q207" s="460">
        <f t="shared" si="32"/>
        <v>3476</v>
      </c>
      <c r="R207" s="429">
        <v>189</v>
      </c>
      <c r="S207" s="350">
        <f t="shared" si="28"/>
        <v>0</v>
      </c>
      <c r="T207" s="350">
        <f t="shared" si="29"/>
        <v>422.16950991057263</v>
      </c>
    </row>
    <row r="208" spans="1:20" outlineLevel="3">
      <c r="A208" s="429">
        <v>222</v>
      </c>
      <c r="B208" s="429" t="s">
        <v>307</v>
      </c>
      <c r="C208" s="429" t="s">
        <v>531</v>
      </c>
      <c r="D208" s="430">
        <v>1773</v>
      </c>
      <c r="E208" s="429">
        <v>2.1999999999999999E-2</v>
      </c>
      <c r="F208" s="432"/>
      <c r="G208" s="433">
        <f t="shared" si="22"/>
        <v>9104.3709734513322</v>
      </c>
      <c r="H208" s="434">
        <f t="shared" si="23"/>
        <v>1.0999450027498619E-3</v>
      </c>
      <c r="I208" s="433">
        <f t="shared" si="24"/>
        <v>442.1184530841378</v>
      </c>
      <c r="J208" s="433">
        <f t="shared" si="25"/>
        <v>110.52961327103445</v>
      </c>
      <c r="K208" s="433">
        <f t="shared" si="26"/>
        <v>331.58883981310333</v>
      </c>
      <c r="L208" s="433">
        <f t="shared" si="27"/>
        <v>88</v>
      </c>
      <c r="M208" s="435"/>
      <c r="N208" s="433"/>
      <c r="O208" s="436">
        <f>+VLOOKUP(C208,Pop_ISTAT!$A$10:$J$273,10,FALSE)</f>
        <v>3473</v>
      </c>
      <c r="P208" s="435"/>
      <c r="Q208" s="460">
        <f t="shared" si="32"/>
        <v>3473</v>
      </c>
      <c r="R208" s="429">
        <v>190</v>
      </c>
      <c r="S208" s="350">
        <f t="shared" si="28"/>
        <v>0</v>
      </c>
      <c r="T208" s="350">
        <f t="shared" si="29"/>
        <v>442.1184530841378</v>
      </c>
    </row>
    <row r="209" spans="1:20" outlineLevel="3">
      <c r="A209" s="429">
        <v>180</v>
      </c>
      <c r="B209" s="429" t="s">
        <v>311</v>
      </c>
      <c r="C209" s="429" t="s">
        <v>490</v>
      </c>
      <c r="D209" s="430">
        <v>2911</v>
      </c>
      <c r="E209" s="429">
        <v>3.5999999999999997E-2</v>
      </c>
      <c r="F209" s="432"/>
      <c r="G209" s="433">
        <f t="shared" si="22"/>
        <v>14898.06159292036</v>
      </c>
      <c r="H209" s="434">
        <f t="shared" si="23"/>
        <v>1.7999100044997737E-3</v>
      </c>
      <c r="I209" s="433">
        <f t="shared" si="24"/>
        <v>725.89216972810209</v>
      </c>
      <c r="J209" s="433">
        <f t="shared" si="25"/>
        <v>181.47304243202552</v>
      </c>
      <c r="K209" s="433">
        <f t="shared" si="26"/>
        <v>544.41912729607657</v>
      </c>
      <c r="L209" s="433">
        <f t="shared" si="27"/>
        <v>143.99999999999997</v>
      </c>
      <c r="M209" s="435"/>
      <c r="N209" s="433"/>
      <c r="O209" s="436">
        <f>+VLOOKUP(C209,Pop_ISTAT!$A$10:$J$273,10,FALSE)</f>
        <v>3418</v>
      </c>
      <c r="P209" s="435"/>
      <c r="Q209" s="460">
        <f t="shared" si="32"/>
        <v>3418</v>
      </c>
      <c r="R209" s="429">
        <v>191</v>
      </c>
      <c r="S209" s="350">
        <f t="shared" si="28"/>
        <v>0</v>
      </c>
      <c r="T209" s="350">
        <f t="shared" si="29"/>
        <v>725.89216972810209</v>
      </c>
    </row>
    <row r="210" spans="1:20" outlineLevel="3">
      <c r="A210" s="429">
        <v>191</v>
      </c>
      <c r="B210" s="429" t="s">
        <v>311</v>
      </c>
      <c r="C210" s="429" t="s">
        <v>501</v>
      </c>
      <c r="D210" s="430">
        <v>2481</v>
      </c>
      <c r="E210" s="429">
        <v>3.1E-2</v>
      </c>
      <c r="F210" s="432"/>
      <c r="G210" s="433">
        <f t="shared" si="22"/>
        <v>12828.886371681423</v>
      </c>
      <c r="H210" s="434">
        <f t="shared" si="23"/>
        <v>1.5499225038748054E-3</v>
      </c>
      <c r="I210" s="433">
        <f t="shared" si="24"/>
        <v>618.66660017018944</v>
      </c>
      <c r="J210" s="433">
        <f t="shared" si="25"/>
        <v>154.66665004254736</v>
      </c>
      <c r="K210" s="433">
        <f t="shared" si="26"/>
        <v>463.99995012764208</v>
      </c>
      <c r="L210" s="433">
        <f t="shared" si="27"/>
        <v>124</v>
      </c>
      <c r="M210" s="435"/>
      <c r="N210" s="433"/>
      <c r="O210" s="436">
        <f>+VLOOKUP(C210,Pop_ISTAT!$A$10:$J$273,10,FALSE)</f>
        <v>3398</v>
      </c>
      <c r="P210" s="435"/>
      <c r="Q210" s="460">
        <f t="shared" si="32"/>
        <v>3398</v>
      </c>
      <c r="R210" s="429">
        <v>192</v>
      </c>
      <c r="S210" s="350">
        <f t="shared" si="28"/>
        <v>0</v>
      </c>
      <c r="T210" s="350">
        <f t="shared" si="29"/>
        <v>618.66660017018944</v>
      </c>
    </row>
    <row r="211" spans="1:20" outlineLevel="3">
      <c r="A211" s="429">
        <v>221</v>
      </c>
      <c r="B211" s="429" t="s">
        <v>307</v>
      </c>
      <c r="C211" s="429" t="s">
        <v>530</v>
      </c>
      <c r="D211" s="430">
        <v>1793</v>
      </c>
      <c r="E211" s="429">
        <v>2.1999999999999999E-2</v>
      </c>
      <c r="F211" s="432"/>
      <c r="G211" s="433">
        <f t="shared" ref="G211:G275" si="33">+$D$6*E211/$E$14</f>
        <v>9104.3709734513322</v>
      </c>
      <c r="H211" s="434">
        <f t="shared" ref="H211:H274" si="34">+G211/$G$14</f>
        <v>1.0999450027498619E-3</v>
      </c>
      <c r="I211" s="433">
        <f t="shared" ref="I211:I275" si="35">+$D$10/$D$14*D211</f>
        <v>447.10568887752908</v>
      </c>
      <c r="J211" s="433">
        <f t="shared" ref="J211:J274" si="36">+I211*25%</f>
        <v>111.77642221938227</v>
      </c>
      <c r="K211" s="433">
        <f t="shared" ref="K211:K274" si="37">+I211-J211</f>
        <v>335.32926665814682</v>
      </c>
      <c r="L211" s="433">
        <f t="shared" ref="L211:L275" si="38">+$D$10*$E211/100</f>
        <v>88</v>
      </c>
      <c r="M211" s="435"/>
      <c r="N211" s="433"/>
      <c r="O211" s="436">
        <f>+VLOOKUP(C211,Pop_ISTAT!$A$10:$J$273,10,FALSE)</f>
        <v>3375</v>
      </c>
      <c r="P211" s="435"/>
      <c r="Q211" s="460">
        <f t="shared" si="32"/>
        <v>3375</v>
      </c>
      <c r="R211" s="429">
        <v>193</v>
      </c>
      <c r="S211" s="350">
        <f t="shared" si="28"/>
        <v>0</v>
      </c>
      <c r="T211" s="350">
        <f t="shared" si="29"/>
        <v>447.10568887752908</v>
      </c>
    </row>
    <row r="212" spans="1:20" outlineLevel="3">
      <c r="A212" s="429">
        <v>166</v>
      </c>
      <c r="B212" s="429" t="s">
        <v>309</v>
      </c>
      <c r="C212" s="429" t="s">
        <v>476</v>
      </c>
      <c r="D212" s="430">
        <v>3199</v>
      </c>
      <c r="E212" s="429">
        <v>0.04</v>
      </c>
      <c r="F212" s="432"/>
      <c r="G212" s="433">
        <f t="shared" si="33"/>
        <v>16553.401769911514</v>
      </c>
      <c r="H212" s="434">
        <f t="shared" si="34"/>
        <v>1.9999000049997491E-3</v>
      </c>
      <c r="I212" s="433">
        <f t="shared" si="35"/>
        <v>797.70836515293672</v>
      </c>
      <c r="J212" s="433">
        <f t="shared" si="36"/>
        <v>199.42709128823418</v>
      </c>
      <c r="K212" s="433">
        <f t="shared" si="37"/>
        <v>598.2812738647026</v>
      </c>
      <c r="L212" s="433">
        <f t="shared" si="38"/>
        <v>160</v>
      </c>
      <c r="M212" s="435"/>
      <c r="N212" s="433"/>
      <c r="O212" s="436">
        <f>+VLOOKUP(C212,Pop_ISTAT!$A$10:$J$273,10,FALSE)</f>
        <v>3361</v>
      </c>
      <c r="P212" s="435"/>
      <c r="Q212" s="460">
        <f t="shared" si="32"/>
        <v>3361</v>
      </c>
      <c r="R212" s="429">
        <v>194</v>
      </c>
      <c r="S212" s="350">
        <f t="shared" ref="S212:S275" si="39">+IF(P212="",0,I212)</f>
        <v>0</v>
      </c>
      <c r="T212" s="350">
        <f t="shared" ref="T212:T275" si="40">+IF(Q212="",0,I212)</f>
        <v>797.70836515293672</v>
      </c>
    </row>
    <row r="213" spans="1:20" outlineLevel="3">
      <c r="A213" s="429">
        <v>228</v>
      </c>
      <c r="B213" s="429" t="s">
        <v>311</v>
      </c>
      <c r="C213" s="429" t="s">
        <v>537</v>
      </c>
      <c r="D213" s="430">
        <v>1639</v>
      </c>
      <c r="E213" s="429">
        <v>0.02</v>
      </c>
      <c r="F213" s="432"/>
      <c r="G213" s="433">
        <f t="shared" si="33"/>
        <v>8276.7008849557569</v>
      </c>
      <c r="H213" s="434">
        <f t="shared" si="34"/>
        <v>9.9995000249987454E-4</v>
      </c>
      <c r="I213" s="433">
        <f t="shared" si="35"/>
        <v>408.70397326841618</v>
      </c>
      <c r="J213" s="433">
        <f t="shared" si="36"/>
        <v>102.17599331710404</v>
      </c>
      <c r="K213" s="433">
        <f t="shared" si="37"/>
        <v>306.52797995131215</v>
      </c>
      <c r="L213" s="433">
        <f t="shared" si="38"/>
        <v>80</v>
      </c>
      <c r="M213" s="435"/>
      <c r="N213" s="433"/>
      <c r="O213" s="436">
        <f>+VLOOKUP(C213,Pop_ISTAT!$A$10:$J$273,10,FALSE)</f>
        <v>3344</v>
      </c>
      <c r="P213" s="435"/>
      <c r="Q213" s="460">
        <f t="shared" si="32"/>
        <v>3344</v>
      </c>
      <c r="R213" s="429">
        <v>195</v>
      </c>
      <c r="S213" s="350">
        <f t="shared" si="39"/>
        <v>0</v>
      </c>
      <c r="T213" s="350">
        <f t="shared" si="40"/>
        <v>408.70397326841618</v>
      </c>
    </row>
    <row r="214" spans="1:20" outlineLevel="3">
      <c r="A214" s="429">
        <v>111</v>
      </c>
      <c r="B214" s="429" t="s">
        <v>309</v>
      </c>
      <c r="C214" s="429" t="s">
        <v>421</v>
      </c>
      <c r="D214" s="430">
        <v>5100</v>
      </c>
      <c r="E214" s="429">
        <v>6.4000000000000001E-2</v>
      </c>
      <c r="F214" s="432"/>
      <c r="G214" s="433">
        <f t="shared" si="33"/>
        <v>26485.442831858425</v>
      </c>
      <c r="H214" s="434">
        <f t="shared" si="34"/>
        <v>3.1998400079995986E-3</v>
      </c>
      <c r="I214" s="433">
        <f t="shared" si="35"/>
        <v>1271.7451273147788</v>
      </c>
      <c r="J214" s="433">
        <f t="shared" si="36"/>
        <v>317.93628182869469</v>
      </c>
      <c r="K214" s="433">
        <f t="shared" si="37"/>
        <v>953.80884548608401</v>
      </c>
      <c r="L214" s="433">
        <f t="shared" si="38"/>
        <v>256</v>
      </c>
      <c r="M214" s="435"/>
      <c r="N214" s="433"/>
      <c r="O214" s="436">
        <f>+VLOOKUP(C214,Pop_ISTAT!$A$10:$J$273,10,FALSE)</f>
        <v>3323</v>
      </c>
      <c r="P214" s="435"/>
      <c r="Q214" s="460">
        <f t="shared" si="32"/>
        <v>3323</v>
      </c>
      <c r="R214" s="429">
        <v>196</v>
      </c>
      <c r="S214" s="350">
        <f t="shared" si="39"/>
        <v>0</v>
      </c>
      <c r="T214" s="350">
        <f t="shared" si="40"/>
        <v>1271.7451273147788</v>
      </c>
    </row>
    <row r="215" spans="1:20" outlineLevel="3" collapsed="1">
      <c r="A215" s="439">
        <v>219</v>
      </c>
      <c r="B215" s="439" t="s">
        <v>309</v>
      </c>
      <c r="C215" s="439" t="s">
        <v>528</v>
      </c>
      <c r="D215" s="440">
        <v>1817</v>
      </c>
      <c r="E215" s="439">
        <v>2.3E-2</v>
      </c>
      <c r="F215" s="441" t="s">
        <v>619</v>
      </c>
      <c r="G215" s="442">
        <f t="shared" si="33"/>
        <v>9518.2060176991199</v>
      </c>
      <c r="H215" s="443">
        <f t="shared" si="34"/>
        <v>1.1499425028748556E-3</v>
      </c>
      <c r="I215" s="442">
        <f t="shared" si="35"/>
        <v>453.09037182959861</v>
      </c>
      <c r="J215" s="442">
        <f t="shared" si="36"/>
        <v>113.27259295739965</v>
      </c>
      <c r="K215" s="442">
        <f t="shared" si="37"/>
        <v>339.81777887219897</v>
      </c>
      <c r="L215" s="442">
        <f t="shared" si="38"/>
        <v>92</v>
      </c>
      <c r="M215" s="444"/>
      <c r="N215" s="442"/>
      <c r="O215" s="445">
        <f>+VLOOKUP(C215,Pop_ISTAT!$A$10:$J$273,10,FALSE)</f>
        <v>3241</v>
      </c>
      <c r="P215" s="444"/>
      <c r="Q215" s="446">
        <f>+O215</f>
        <v>3241</v>
      </c>
      <c r="R215" s="439">
        <v>197</v>
      </c>
      <c r="S215" s="380">
        <f t="shared" si="39"/>
        <v>0</v>
      </c>
      <c r="T215" s="380">
        <f t="shared" si="40"/>
        <v>453.09037182959861</v>
      </c>
    </row>
    <row r="216" spans="1:20" outlineLevel="3">
      <c r="A216" s="429">
        <v>192</v>
      </c>
      <c r="B216" s="429" t="s">
        <v>311</v>
      </c>
      <c r="C216" s="429" t="s">
        <v>502</v>
      </c>
      <c r="D216" s="430">
        <v>2477</v>
      </c>
      <c r="E216" s="429">
        <v>3.1E-2</v>
      </c>
      <c r="F216" s="432"/>
      <c r="G216" s="433">
        <f t="shared" si="33"/>
        <v>12828.886371681423</v>
      </c>
      <c r="H216" s="434">
        <f t="shared" si="34"/>
        <v>1.5499225038748054E-3</v>
      </c>
      <c r="I216" s="433">
        <f t="shared" si="35"/>
        <v>617.66915301151118</v>
      </c>
      <c r="J216" s="433">
        <f t="shared" si="36"/>
        <v>154.4172882528778</v>
      </c>
      <c r="K216" s="433">
        <f t="shared" si="37"/>
        <v>463.25186475863336</v>
      </c>
      <c r="L216" s="433">
        <f t="shared" si="38"/>
        <v>124</v>
      </c>
      <c r="M216" s="435"/>
      <c r="N216" s="433"/>
      <c r="O216" s="436">
        <f>+VLOOKUP(C216,Pop_ISTAT!$A$10:$J$273,10,FALSE)</f>
        <v>3218</v>
      </c>
      <c r="P216" s="435"/>
      <c r="Q216" s="460">
        <f t="shared" ref="Q216:Q230" si="41">+O216</f>
        <v>3218</v>
      </c>
      <c r="R216" s="429">
        <v>198</v>
      </c>
      <c r="S216" s="350">
        <f t="shared" si="39"/>
        <v>0</v>
      </c>
      <c r="T216" s="350">
        <f t="shared" si="40"/>
        <v>617.66915301151118</v>
      </c>
    </row>
    <row r="217" spans="1:20" outlineLevel="3">
      <c r="A217" s="429">
        <v>133</v>
      </c>
      <c r="B217" s="429" t="s">
        <v>311</v>
      </c>
      <c r="C217" s="429" t="s">
        <v>443</v>
      </c>
      <c r="D217" s="430">
        <v>4143</v>
      </c>
      <c r="E217" s="429">
        <v>5.1999999999999998E-2</v>
      </c>
      <c r="F217" s="432"/>
      <c r="G217" s="433">
        <f t="shared" si="33"/>
        <v>21519.422300884966</v>
      </c>
      <c r="H217" s="434">
        <f t="shared" si="34"/>
        <v>2.5998700064996734E-3</v>
      </c>
      <c r="I217" s="433">
        <f t="shared" si="35"/>
        <v>1033.1058946010055</v>
      </c>
      <c r="J217" s="433">
        <f t="shared" si="36"/>
        <v>258.27647365025138</v>
      </c>
      <c r="K217" s="433">
        <f t="shared" si="37"/>
        <v>774.82942095075418</v>
      </c>
      <c r="L217" s="433">
        <f t="shared" si="38"/>
        <v>208</v>
      </c>
      <c r="M217" s="435"/>
      <c r="N217" s="433"/>
      <c r="O217" s="436">
        <f>+VLOOKUP(C217,Pop_ISTAT!$A$10:$J$273,10,FALSE)</f>
        <v>3031</v>
      </c>
      <c r="P217" s="435"/>
      <c r="Q217" s="460">
        <f t="shared" si="41"/>
        <v>3031</v>
      </c>
      <c r="R217" s="429">
        <v>199</v>
      </c>
      <c r="S217" s="350">
        <f t="shared" si="39"/>
        <v>0</v>
      </c>
      <c r="T217" s="350">
        <f t="shared" si="40"/>
        <v>1033.1058946010055</v>
      </c>
    </row>
    <row r="218" spans="1:20" outlineLevel="3" collapsed="1">
      <c r="A218" s="429">
        <v>159</v>
      </c>
      <c r="B218" s="429" t="s">
        <v>309</v>
      </c>
      <c r="C218" s="429" t="s">
        <v>469</v>
      </c>
      <c r="D218" s="430">
        <v>3334</v>
      </c>
      <c r="E218" s="429">
        <v>4.2000000000000003E-2</v>
      </c>
      <c r="F218" s="432"/>
      <c r="G218" s="433">
        <f t="shared" si="33"/>
        <v>17381.071858407089</v>
      </c>
      <c r="H218" s="434">
        <f t="shared" si="34"/>
        <v>2.0998950052497365E-3</v>
      </c>
      <c r="I218" s="433">
        <f t="shared" si="35"/>
        <v>831.37220675832793</v>
      </c>
      <c r="J218" s="433">
        <f t="shared" si="36"/>
        <v>207.84305168958198</v>
      </c>
      <c r="K218" s="433">
        <f t="shared" si="37"/>
        <v>623.52915506874592</v>
      </c>
      <c r="L218" s="433">
        <f t="shared" si="38"/>
        <v>168</v>
      </c>
      <c r="M218" s="435"/>
      <c r="N218" s="433"/>
      <c r="O218" s="436">
        <f>+VLOOKUP(C218,Pop_ISTAT!$A$10:$J$273,10,FALSE)</f>
        <v>2893</v>
      </c>
      <c r="P218" s="435"/>
      <c r="Q218" s="460">
        <f t="shared" si="41"/>
        <v>2893</v>
      </c>
      <c r="R218" s="429">
        <v>200</v>
      </c>
      <c r="S218" s="350">
        <f t="shared" si="39"/>
        <v>0</v>
      </c>
      <c r="T218" s="350">
        <f t="shared" si="40"/>
        <v>831.37220675832793</v>
      </c>
    </row>
    <row r="219" spans="1:20" outlineLevel="3">
      <c r="A219" s="429">
        <v>217</v>
      </c>
      <c r="B219" s="429" t="s">
        <v>311</v>
      </c>
      <c r="C219" s="429" t="s">
        <v>526</v>
      </c>
      <c r="D219" s="430">
        <v>1851</v>
      </c>
      <c r="E219" s="429">
        <v>2.3E-2</v>
      </c>
      <c r="F219" s="432"/>
      <c r="G219" s="433">
        <f t="shared" si="33"/>
        <v>9518.2060176991199</v>
      </c>
      <c r="H219" s="434">
        <f t="shared" si="34"/>
        <v>1.1499425028748556E-3</v>
      </c>
      <c r="I219" s="433">
        <f t="shared" si="35"/>
        <v>461.56867267836384</v>
      </c>
      <c r="J219" s="433">
        <f t="shared" si="36"/>
        <v>115.39216816959096</v>
      </c>
      <c r="K219" s="433">
        <f t="shared" si="37"/>
        <v>346.17650450877289</v>
      </c>
      <c r="L219" s="433">
        <f t="shared" si="38"/>
        <v>92</v>
      </c>
      <c r="M219" s="435"/>
      <c r="N219" s="433"/>
      <c r="O219" s="436">
        <f>+VLOOKUP(C219,Pop_ISTAT!$A$10:$J$273,10,FALSE)</f>
        <v>2832</v>
      </c>
      <c r="P219" s="435"/>
      <c r="Q219" s="460">
        <f t="shared" si="41"/>
        <v>2832</v>
      </c>
      <c r="R219" s="429">
        <v>201</v>
      </c>
      <c r="S219" s="350">
        <f t="shared" si="39"/>
        <v>0</v>
      </c>
      <c r="T219" s="350">
        <f t="shared" si="40"/>
        <v>461.56867267836384</v>
      </c>
    </row>
    <row r="220" spans="1:20" outlineLevel="3">
      <c r="A220" s="429">
        <v>59</v>
      </c>
      <c r="B220" s="429" t="s">
        <v>311</v>
      </c>
      <c r="C220" s="429" t="s">
        <v>369</v>
      </c>
      <c r="D220" s="430">
        <v>7385</v>
      </c>
      <c r="E220" s="429">
        <v>9.1999999999999998E-2</v>
      </c>
      <c r="F220" s="432"/>
      <c r="G220" s="433">
        <f t="shared" si="33"/>
        <v>38072.82407079648</v>
      </c>
      <c r="H220" s="434">
        <f t="shared" si="34"/>
        <v>4.5997700114994225E-3</v>
      </c>
      <c r="I220" s="433">
        <f t="shared" si="35"/>
        <v>1841.5368167097336</v>
      </c>
      <c r="J220" s="433">
        <f t="shared" si="36"/>
        <v>460.38420417743339</v>
      </c>
      <c r="K220" s="433">
        <f t="shared" si="37"/>
        <v>1381.1526125323003</v>
      </c>
      <c r="L220" s="433">
        <f t="shared" si="38"/>
        <v>368</v>
      </c>
      <c r="M220" s="435"/>
      <c r="N220" s="433"/>
      <c r="O220" s="436">
        <f>+VLOOKUP(C220,Pop_ISTAT!$A$10:$J$273,10,FALSE)</f>
        <v>2805</v>
      </c>
      <c r="P220" s="435"/>
      <c r="Q220" s="460">
        <f t="shared" si="41"/>
        <v>2805</v>
      </c>
      <c r="R220" s="429">
        <v>202</v>
      </c>
      <c r="S220" s="350">
        <f t="shared" si="39"/>
        <v>0</v>
      </c>
      <c r="T220" s="350">
        <f t="shared" si="40"/>
        <v>1841.5368167097336</v>
      </c>
    </row>
    <row r="221" spans="1:20" outlineLevel="3">
      <c r="A221" s="429">
        <v>158</v>
      </c>
      <c r="B221" s="429" t="s">
        <v>311</v>
      </c>
      <c r="C221" s="429" t="s">
        <v>468</v>
      </c>
      <c r="D221" s="430">
        <v>3379</v>
      </c>
      <c r="E221" s="429">
        <v>4.2000000000000003E-2</v>
      </c>
      <c r="F221" s="432"/>
      <c r="G221" s="433">
        <f t="shared" si="33"/>
        <v>17381.071858407089</v>
      </c>
      <c r="H221" s="434">
        <f t="shared" si="34"/>
        <v>2.0998950052497365E-3</v>
      </c>
      <c r="I221" s="433">
        <f t="shared" si="35"/>
        <v>842.59348729345834</v>
      </c>
      <c r="J221" s="433">
        <f t="shared" si="36"/>
        <v>210.64837182336458</v>
      </c>
      <c r="K221" s="433">
        <f t="shared" si="37"/>
        <v>631.9451154700937</v>
      </c>
      <c r="L221" s="433">
        <f t="shared" si="38"/>
        <v>168</v>
      </c>
      <c r="M221" s="435"/>
      <c r="N221" s="433"/>
      <c r="O221" s="436">
        <f>+VLOOKUP(C221,Pop_ISTAT!$A$10:$J$273,10,FALSE)</f>
        <v>2793</v>
      </c>
      <c r="P221" s="435"/>
      <c r="Q221" s="460">
        <f t="shared" si="41"/>
        <v>2793</v>
      </c>
      <c r="R221" s="429">
        <v>203</v>
      </c>
      <c r="S221" s="350">
        <f t="shared" si="39"/>
        <v>0</v>
      </c>
      <c r="T221" s="350">
        <f t="shared" si="40"/>
        <v>842.59348729345834</v>
      </c>
    </row>
    <row r="222" spans="1:20" outlineLevel="3">
      <c r="A222" s="429">
        <v>218</v>
      </c>
      <c r="B222" s="429" t="s">
        <v>311</v>
      </c>
      <c r="C222" s="429" t="s">
        <v>527</v>
      </c>
      <c r="D222" s="430">
        <v>1823</v>
      </c>
      <c r="E222" s="429">
        <v>2.3E-2</v>
      </c>
      <c r="F222" s="432"/>
      <c r="G222" s="433">
        <f t="shared" si="33"/>
        <v>9518.2060176991199</v>
      </c>
      <c r="H222" s="434">
        <f t="shared" si="34"/>
        <v>1.1499425028748556E-3</v>
      </c>
      <c r="I222" s="433">
        <f t="shared" si="35"/>
        <v>454.58654256761599</v>
      </c>
      <c r="J222" s="433">
        <f t="shared" si="36"/>
        <v>113.646635641904</v>
      </c>
      <c r="K222" s="433">
        <f t="shared" si="37"/>
        <v>340.93990692571197</v>
      </c>
      <c r="L222" s="433">
        <f t="shared" si="38"/>
        <v>92</v>
      </c>
      <c r="M222" s="435"/>
      <c r="N222" s="433"/>
      <c r="O222" s="436">
        <f>+VLOOKUP(C222,Pop_ISTAT!$A$10:$J$273,10,FALSE)</f>
        <v>2724</v>
      </c>
      <c r="P222" s="435"/>
      <c r="Q222" s="460">
        <f t="shared" si="41"/>
        <v>2724</v>
      </c>
      <c r="R222" s="429">
        <v>204</v>
      </c>
      <c r="S222" s="350">
        <f t="shared" si="39"/>
        <v>0</v>
      </c>
      <c r="T222" s="350">
        <f t="shared" si="40"/>
        <v>454.58654256761599</v>
      </c>
    </row>
    <row r="223" spans="1:20" outlineLevel="3">
      <c r="A223" s="429">
        <v>230</v>
      </c>
      <c r="B223" s="429" t="s">
        <v>311</v>
      </c>
      <c r="C223" s="429" t="s">
        <v>539</v>
      </c>
      <c r="D223" s="430">
        <v>1605</v>
      </c>
      <c r="E223" s="429">
        <v>0.02</v>
      </c>
      <c r="F223" s="432"/>
      <c r="G223" s="433">
        <f t="shared" si="33"/>
        <v>8276.7008849557569</v>
      </c>
      <c r="H223" s="434">
        <f t="shared" si="34"/>
        <v>9.9995000249987454E-4</v>
      </c>
      <c r="I223" s="433">
        <f t="shared" si="35"/>
        <v>400.22567241965095</v>
      </c>
      <c r="J223" s="433">
        <f t="shared" si="36"/>
        <v>100.05641810491274</v>
      </c>
      <c r="K223" s="433">
        <f t="shared" si="37"/>
        <v>300.16925431473823</v>
      </c>
      <c r="L223" s="433">
        <f t="shared" si="38"/>
        <v>80</v>
      </c>
      <c r="M223" s="435"/>
      <c r="N223" s="433"/>
      <c r="O223" s="436">
        <f>+VLOOKUP(C223,Pop_ISTAT!$A$10:$J$273,10,FALSE)</f>
        <v>2619</v>
      </c>
      <c r="P223" s="435"/>
      <c r="Q223" s="460">
        <f t="shared" si="41"/>
        <v>2619</v>
      </c>
      <c r="R223" s="429">
        <v>205</v>
      </c>
      <c r="S223" s="350">
        <f t="shared" si="39"/>
        <v>0</v>
      </c>
      <c r="T223" s="350">
        <f t="shared" si="40"/>
        <v>400.22567241965095</v>
      </c>
    </row>
    <row r="224" spans="1:20" outlineLevel="3">
      <c r="A224" s="429">
        <v>60</v>
      </c>
      <c r="B224" s="429" t="s">
        <v>309</v>
      </c>
      <c r="C224" s="429" t="s">
        <v>370</v>
      </c>
      <c r="D224" s="430">
        <v>7380</v>
      </c>
      <c r="E224" s="429">
        <v>9.1999999999999998E-2</v>
      </c>
      <c r="F224" s="432"/>
      <c r="G224" s="433">
        <f t="shared" si="33"/>
        <v>38072.82407079648</v>
      </c>
      <c r="H224" s="434">
        <f t="shared" si="34"/>
        <v>4.5997700114994225E-3</v>
      </c>
      <c r="I224" s="433">
        <f t="shared" si="35"/>
        <v>1840.2900077613858</v>
      </c>
      <c r="J224" s="433">
        <f t="shared" si="36"/>
        <v>460.07250194034646</v>
      </c>
      <c r="K224" s="433">
        <f t="shared" si="37"/>
        <v>1380.2175058210394</v>
      </c>
      <c r="L224" s="433">
        <f t="shared" si="38"/>
        <v>368</v>
      </c>
      <c r="M224" s="435"/>
      <c r="N224" s="433"/>
      <c r="O224" s="436">
        <f>+VLOOKUP(C224,Pop_ISTAT!$A$10:$J$273,10,FALSE)</f>
        <v>2594</v>
      </c>
      <c r="P224" s="435"/>
      <c r="Q224" s="460">
        <f t="shared" si="41"/>
        <v>2594</v>
      </c>
      <c r="R224" s="429">
        <v>206</v>
      </c>
      <c r="S224" s="350">
        <f t="shared" si="39"/>
        <v>0</v>
      </c>
      <c r="T224" s="350">
        <f t="shared" si="40"/>
        <v>1840.2900077613858</v>
      </c>
    </row>
    <row r="225" spans="1:20" outlineLevel="3">
      <c r="A225" s="429">
        <v>212</v>
      </c>
      <c r="B225" s="429" t="s">
        <v>311</v>
      </c>
      <c r="C225" s="429" t="s">
        <v>521</v>
      </c>
      <c r="D225" s="430">
        <v>1990</v>
      </c>
      <c r="E225" s="429">
        <v>2.5000000000000001E-2</v>
      </c>
      <c r="F225" s="432"/>
      <c r="G225" s="433">
        <f t="shared" si="33"/>
        <v>10345.876106194695</v>
      </c>
      <c r="H225" s="434">
        <f t="shared" si="34"/>
        <v>1.249937503124843E-3</v>
      </c>
      <c r="I225" s="433">
        <f t="shared" si="35"/>
        <v>496.22996144243325</v>
      </c>
      <c r="J225" s="433">
        <f t="shared" si="36"/>
        <v>124.05749036060831</v>
      </c>
      <c r="K225" s="433">
        <f t="shared" si="37"/>
        <v>372.17247108182494</v>
      </c>
      <c r="L225" s="433">
        <f t="shared" si="38"/>
        <v>100</v>
      </c>
      <c r="M225" s="435"/>
      <c r="N225" s="433"/>
      <c r="O225" s="436">
        <f>+VLOOKUP(C225,Pop_ISTAT!$A$10:$J$273,10,FALSE)</f>
        <v>2592</v>
      </c>
      <c r="P225" s="435"/>
      <c r="Q225" s="460">
        <f t="shared" si="41"/>
        <v>2592</v>
      </c>
      <c r="R225" s="429">
        <v>207</v>
      </c>
      <c r="S225" s="350">
        <f t="shared" si="39"/>
        <v>0</v>
      </c>
      <c r="T225" s="350">
        <f t="shared" si="40"/>
        <v>496.22996144243325</v>
      </c>
    </row>
    <row r="226" spans="1:20" outlineLevel="3">
      <c r="A226" s="429">
        <v>194</v>
      </c>
      <c r="B226" s="429" t="s">
        <v>309</v>
      </c>
      <c r="C226" s="429" t="s">
        <v>504</v>
      </c>
      <c r="D226" s="430">
        <v>2470</v>
      </c>
      <c r="E226" s="429">
        <v>3.1E-2</v>
      </c>
      <c r="F226" s="432"/>
      <c r="G226" s="433">
        <f t="shared" si="33"/>
        <v>12828.886371681423</v>
      </c>
      <c r="H226" s="434">
        <f t="shared" si="34"/>
        <v>1.5499225038748054E-3</v>
      </c>
      <c r="I226" s="433">
        <f t="shared" si="35"/>
        <v>615.92362048382427</v>
      </c>
      <c r="J226" s="433">
        <f t="shared" si="36"/>
        <v>153.98090512095607</v>
      </c>
      <c r="K226" s="433">
        <f t="shared" si="37"/>
        <v>461.94271536286817</v>
      </c>
      <c r="L226" s="433">
        <f t="shared" si="38"/>
        <v>124</v>
      </c>
      <c r="M226" s="435"/>
      <c r="N226" s="433"/>
      <c r="O226" s="436">
        <f>+VLOOKUP(C226,Pop_ISTAT!$A$10:$J$273,10,FALSE)</f>
        <v>2563</v>
      </c>
      <c r="P226" s="435"/>
      <c r="Q226" s="460">
        <f t="shared" si="41"/>
        <v>2563</v>
      </c>
      <c r="R226" s="429">
        <v>208</v>
      </c>
      <c r="S226" s="350">
        <f t="shared" si="39"/>
        <v>0</v>
      </c>
      <c r="T226" s="350">
        <f t="shared" si="40"/>
        <v>615.92362048382427</v>
      </c>
    </row>
    <row r="227" spans="1:20" outlineLevel="3">
      <c r="A227" s="429">
        <v>215</v>
      </c>
      <c r="B227" s="429" t="s">
        <v>309</v>
      </c>
      <c r="C227" s="429" t="s">
        <v>524</v>
      </c>
      <c r="D227" s="430">
        <v>1889</v>
      </c>
      <c r="E227" s="429">
        <v>2.4E-2</v>
      </c>
      <c r="F227" s="432"/>
      <c r="G227" s="433">
        <f t="shared" si="33"/>
        <v>9932.0410619469094</v>
      </c>
      <c r="H227" s="434">
        <f t="shared" si="34"/>
        <v>1.1999400029998495E-3</v>
      </c>
      <c r="I227" s="433">
        <f t="shared" si="35"/>
        <v>471.04442068580727</v>
      </c>
      <c r="J227" s="433">
        <f t="shared" si="36"/>
        <v>117.76110517145182</v>
      </c>
      <c r="K227" s="433">
        <f t="shared" si="37"/>
        <v>353.28331551435542</v>
      </c>
      <c r="L227" s="433">
        <f t="shared" si="38"/>
        <v>96</v>
      </c>
      <c r="M227" s="435"/>
      <c r="N227" s="433"/>
      <c r="O227" s="436">
        <f>+VLOOKUP(C227,Pop_ISTAT!$A$10:$J$273,10,FALSE)</f>
        <v>2518</v>
      </c>
      <c r="P227" s="435"/>
      <c r="Q227" s="460">
        <f t="shared" si="41"/>
        <v>2518</v>
      </c>
      <c r="R227" s="429">
        <v>209</v>
      </c>
      <c r="S227" s="350">
        <f t="shared" si="39"/>
        <v>0</v>
      </c>
      <c r="T227" s="350">
        <f t="shared" si="40"/>
        <v>471.04442068580727</v>
      </c>
    </row>
    <row r="228" spans="1:20" outlineLevel="3">
      <c r="A228" s="429">
        <v>196</v>
      </c>
      <c r="B228" s="429" t="s">
        <v>309</v>
      </c>
      <c r="C228" s="429" t="s">
        <v>505</v>
      </c>
      <c r="D228" s="430">
        <v>2436</v>
      </c>
      <c r="E228" s="429">
        <v>0.03</v>
      </c>
      <c r="F228" s="432"/>
      <c r="G228" s="433">
        <f t="shared" si="33"/>
        <v>12415.051327433635</v>
      </c>
      <c r="H228" s="434">
        <f t="shared" si="34"/>
        <v>1.4999250037498117E-3</v>
      </c>
      <c r="I228" s="433">
        <f t="shared" si="35"/>
        <v>607.44531963505904</v>
      </c>
      <c r="J228" s="433">
        <f t="shared" si="36"/>
        <v>151.86132990876476</v>
      </c>
      <c r="K228" s="433">
        <f t="shared" si="37"/>
        <v>455.58398972629425</v>
      </c>
      <c r="L228" s="433">
        <f t="shared" si="38"/>
        <v>120</v>
      </c>
      <c r="M228" s="435"/>
      <c r="N228" s="433"/>
      <c r="O228" s="436">
        <f>+VLOOKUP(C228,Pop_ISTAT!$A$10:$J$273,10,FALSE)</f>
        <v>2472</v>
      </c>
      <c r="P228" s="435"/>
      <c r="Q228" s="460">
        <f t="shared" si="41"/>
        <v>2472</v>
      </c>
      <c r="R228" s="429">
        <v>210</v>
      </c>
      <c r="S228" s="350">
        <f t="shared" si="39"/>
        <v>0</v>
      </c>
      <c r="T228" s="350">
        <f t="shared" si="40"/>
        <v>607.44531963505904</v>
      </c>
    </row>
    <row r="229" spans="1:20" outlineLevel="3">
      <c r="A229" s="429">
        <v>204</v>
      </c>
      <c r="B229" s="429" t="s">
        <v>309</v>
      </c>
      <c r="C229" s="429" t="s">
        <v>513</v>
      </c>
      <c r="D229" s="430">
        <v>2180</v>
      </c>
      <c r="E229" s="429">
        <v>2.7E-2</v>
      </c>
      <c r="F229" s="432"/>
      <c r="G229" s="433">
        <f t="shared" si="33"/>
        <v>11173.546194690271</v>
      </c>
      <c r="H229" s="434">
        <f t="shared" si="34"/>
        <v>1.3499325033748304E-3</v>
      </c>
      <c r="I229" s="433">
        <f t="shared" si="35"/>
        <v>543.60870147965056</v>
      </c>
      <c r="J229" s="433">
        <f t="shared" si="36"/>
        <v>135.90217536991264</v>
      </c>
      <c r="K229" s="433">
        <f t="shared" si="37"/>
        <v>407.70652610973792</v>
      </c>
      <c r="L229" s="433">
        <f t="shared" si="38"/>
        <v>108</v>
      </c>
      <c r="M229" s="435"/>
      <c r="N229" s="433"/>
      <c r="O229" s="436">
        <f>+VLOOKUP(C229,Pop_ISTAT!$A$10:$J$273,10,FALSE)</f>
        <v>2406</v>
      </c>
      <c r="P229" s="435"/>
      <c r="Q229" s="460">
        <f t="shared" si="41"/>
        <v>2406</v>
      </c>
      <c r="R229" s="429">
        <v>211</v>
      </c>
      <c r="S229" s="350">
        <f t="shared" si="39"/>
        <v>0</v>
      </c>
      <c r="T229" s="350">
        <f t="shared" si="40"/>
        <v>543.60870147965056</v>
      </c>
    </row>
    <row r="230" spans="1:20" outlineLevel="3">
      <c r="A230" s="429">
        <v>185</v>
      </c>
      <c r="B230" s="429" t="s">
        <v>311</v>
      </c>
      <c r="C230" s="429" t="s">
        <v>495</v>
      </c>
      <c r="D230" s="430">
        <v>2684</v>
      </c>
      <c r="E230" s="429">
        <v>3.3000000000000002E-2</v>
      </c>
      <c r="F230" s="432"/>
      <c r="G230" s="433">
        <f t="shared" si="33"/>
        <v>13656.556460177</v>
      </c>
      <c r="H230" s="434">
        <f t="shared" si="34"/>
        <v>1.649917504124793E-3</v>
      </c>
      <c r="I230" s="433">
        <f t="shared" si="35"/>
        <v>669.287043473111</v>
      </c>
      <c r="J230" s="433">
        <f t="shared" si="36"/>
        <v>167.32176086827775</v>
      </c>
      <c r="K230" s="433">
        <f t="shared" si="37"/>
        <v>501.96528260483325</v>
      </c>
      <c r="L230" s="433">
        <f t="shared" si="38"/>
        <v>132</v>
      </c>
      <c r="M230" s="435"/>
      <c r="N230" s="433"/>
      <c r="O230" s="436">
        <f>+VLOOKUP(C230,Pop_ISTAT!$A$10:$J$273,10,FALSE)</f>
        <v>2316</v>
      </c>
      <c r="P230" s="435"/>
      <c r="Q230" s="460">
        <f t="shared" si="41"/>
        <v>2316</v>
      </c>
      <c r="R230" s="429">
        <v>212</v>
      </c>
      <c r="S230" s="350">
        <f t="shared" si="39"/>
        <v>0</v>
      </c>
      <c r="T230" s="350">
        <f t="shared" si="40"/>
        <v>669.287043473111</v>
      </c>
    </row>
    <row r="231" spans="1:20" outlineLevel="3">
      <c r="A231" s="439">
        <v>248</v>
      </c>
      <c r="B231" s="439" t="s">
        <v>307</v>
      </c>
      <c r="C231" s="439" t="s">
        <v>557</v>
      </c>
      <c r="D231" s="440">
        <v>1065</v>
      </c>
      <c r="E231" s="439">
        <v>1.2999999999999999E-2</v>
      </c>
      <c r="F231" s="441" t="s">
        <v>619</v>
      </c>
      <c r="G231" s="442">
        <f t="shared" si="33"/>
        <v>5379.8555752212415</v>
      </c>
      <c r="H231" s="443">
        <f t="shared" si="34"/>
        <v>6.4996750162491835E-4</v>
      </c>
      <c r="I231" s="442">
        <f t="shared" si="35"/>
        <v>265.57030599808616</v>
      </c>
      <c r="J231" s="442">
        <f t="shared" si="36"/>
        <v>66.392576499521539</v>
      </c>
      <c r="K231" s="442">
        <f t="shared" si="37"/>
        <v>199.17772949856462</v>
      </c>
      <c r="L231" s="442">
        <f t="shared" si="38"/>
        <v>52</v>
      </c>
      <c r="M231" s="444"/>
      <c r="N231" s="442"/>
      <c r="O231" s="445">
        <f>+VLOOKUP(C231,Pop_ISTAT!$A$10:$J$273,10,FALSE)</f>
        <v>2260</v>
      </c>
      <c r="P231" s="444"/>
      <c r="Q231" s="446">
        <f>+O231</f>
        <v>2260</v>
      </c>
      <c r="R231" s="439">
        <v>213</v>
      </c>
      <c r="S231" s="380">
        <f t="shared" si="39"/>
        <v>0</v>
      </c>
      <c r="T231" s="380">
        <f t="shared" si="40"/>
        <v>265.57030599808616</v>
      </c>
    </row>
    <row r="232" spans="1:20" outlineLevel="3">
      <c r="A232" s="429">
        <v>201</v>
      </c>
      <c r="B232" s="429" t="s">
        <v>311</v>
      </c>
      <c r="C232" s="429" t="s">
        <v>510</v>
      </c>
      <c r="D232" s="430">
        <v>2207</v>
      </c>
      <c r="E232" s="429">
        <v>2.8000000000000001E-2</v>
      </c>
      <c r="F232" s="432"/>
      <c r="G232" s="433">
        <f t="shared" si="33"/>
        <v>11587.38123893806</v>
      </c>
      <c r="H232" s="434">
        <f t="shared" si="34"/>
        <v>1.3999300034998243E-3</v>
      </c>
      <c r="I232" s="433">
        <f t="shared" si="35"/>
        <v>550.34146980072876</v>
      </c>
      <c r="J232" s="433">
        <f t="shared" si="36"/>
        <v>137.58536745018219</v>
      </c>
      <c r="K232" s="433">
        <f t="shared" si="37"/>
        <v>412.7561023505466</v>
      </c>
      <c r="L232" s="433">
        <f t="shared" si="38"/>
        <v>112</v>
      </c>
      <c r="M232" s="435"/>
      <c r="N232" s="433"/>
      <c r="O232" s="436">
        <f>+VLOOKUP(C232,Pop_ISTAT!$A$10:$J$273,10,FALSE)</f>
        <v>2252</v>
      </c>
      <c r="P232" s="435"/>
      <c r="Q232" s="460">
        <f t="shared" ref="Q232:Q254" si="42">+O232</f>
        <v>2252</v>
      </c>
      <c r="R232" s="429">
        <v>214</v>
      </c>
      <c r="S232" s="350">
        <f t="shared" si="39"/>
        <v>0</v>
      </c>
      <c r="T232" s="350">
        <f t="shared" si="40"/>
        <v>550.34146980072876</v>
      </c>
    </row>
    <row r="233" spans="1:20" outlineLevel="3">
      <c r="A233" s="429">
        <v>232</v>
      </c>
      <c r="B233" s="429" t="s">
        <v>309</v>
      </c>
      <c r="C233" s="429" t="s">
        <v>541</v>
      </c>
      <c r="D233" s="430">
        <v>1589</v>
      </c>
      <c r="E233" s="429">
        <v>0.02</v>
      </c>
      <c r="F233" s="432"/>
      <c r="G233" s="433">
        <f t="shared" si="33"/>
        <v>8276.7008849557569</v>
      </c>
      <c r="H233" s="434">
        <f t="shared" si="34"/>
        <v>9.9995000249987454E-4</v>
      </c>
      <c r="I233" s="433">
        <f t="shared" si="35"/>
        <v>396.23588378493793</v>
      </c>
      <c r="J233" s="433">
        <f t="shared" si="36"/>
        <v>99.058970946234481</v>
      </c>
      <c r="K233" s="433">
        <f t="shared" si="37"/>
        <v>297.17691283870346</v>
      </c>
      <c r="L233" s="433">
        <f t="shared" si="38"/>
        <v>80</v>
      </c>
      <c r="M233" s="435"/>
      <c r="N233" s="433"/>
      <c r="O233" s="436">
        <f>+VLOOKUP(C233,Pop_ISTAT!$A$10:$J$273,10,FALSE)</f>
        <v>2218</v>
      </c>
      <c r="P233" s="435"/>
      <c r="Q233" s="460">
        <f t="shared" si="42"/>
        <v>2218</v>
      </c>
      <c r="R233" s="429">
        <v>215</v>
      </c>
      <c r="S233" s="350">
        <f t="shared" si="39"/>
        <v>0</v>
      </c>
      <c r="T233" s="350">
        <f t="shared" si="40"/>
        <v>396.23588378493793</v>
      </c>
    </row>
    <row r="234" spans="1:20" outlineLevel="3">
      <c r="A234" s="429">
        <v>188</v>
      </c>
      <c r="B234" s="429" t="s">
        <v>311</v>
      </c>
      <c r="C234" s="429" t="s">
        <v>498</v>
      </c>
      <c r="D234" s="430">
        <v>2564</v>
      </c>
      <c r="E234" s="429">
        <v>3.2000000000000001E-2</v>
      </c>
      <c r="F234" s="432"/>
      <c r="G234" s="433">
        <f t="shared" si="33"/>
        <v>13242.721415929213</v>
      </c>
      <c r="H234" s="434">
        <f t="shared" si="34"/>
        <v>1.5999200039997993E-3</v>
      </c>
      <c r="I234" s="433">
        <f t="shared" si="35"/>
        <v>639.36362871276333</v>
      </c>
      <c r="J234" s="433">
        <f t="shared" si="36"/>
        <v>159.84090717819083</v>
      </c>
      <c r="K234" s="433">
        <f t="shared" si="37"/>
        <v>479.5227215345725</v>
      </c>
      <c r="L234" s="433">
        <f t="shared" si="38"/>
        <v>128</v>
      </c>
      <c r="M234" s="435"/>
      <c r="N234" s="433"/>
      <c r="O234" s="436">
        <f>+VLOOKUP(C234,Pop_ISTAT!$A$10:$J$273,10,FALSE)</f>
        <v>2167</v>
      </c>
      <c r="P234" s="435"/>
      <c r="Q234" s="460">
        <f t="shared" si="42"/>
        <v>2167</v>
      </c>
      <c r="R234" s="429">
        <v>216</v>
      </c>
      <c r="S234" s="350">
        <f t="shared" si="39"/>
        <v>0</v>
      </c>
      <c r="T234" s="350">
        <f t="shared" si="40"/>
        <v>639.36362871276333</v>
      </c>
    </row>
    <row r="235" spans="1:20" outlineLevel="3">
      <c r="A235" s="429">
        <v>247</v>
      </c>
      <c r="B235" s="429" t="s">
        <v>306</v>
      </c>
      <c r="C235" s="429" t="s">
        <v>556</v>
      </c>
      <c r="D235" s="430">
        <v>1107</v>
      </c>
      <c r="E235" s="429">
        <v>1.4E-2</v>
      </c>
      <c r="F235" s="432"/>
      <c r="G235" s="433">
        <f t="shared" si="33"/>
        <v>5793.69061946903</v>
      </c>
      <c r="H235" s="434">
        <f t="shared" si="34"/>
        <v>6.9996500174991216E-4</v>
      </c>
      <c r="I235" s="433">
        <f t="shared" si="35"/>
        <v>276.04350116420784</v>
      </c>
      <c r="J235" s="433">
        <f t="shared" si="36"/>
        <v>69.01087529105196</v>
      </c>
      <c r="K235" s="433">
        <f t="shared" si="37"/>
        <v>207.03262587315589</v>
      </c>
      <c r="L235" s="433">
        <f t="shared" si="38"/>
        <v>56</v>
      </c>
      <c r="M235" s="435"/>
      <c r="N235" s="433"/>
      <c r="O235" s="436">
        <f>+VLOOKUP(C235,Pop_ISTAT!$A$10:$J$273,10,FALSE)</f>
        <v>2166</v>
      </c>
      <c r="P235" s="435"/>
      <c r="Q235" s="460">
        <f t="shared" si="42"/>
        <v>2166</v>
      </c>
      <c r="R235" s="429">
        <v>217</v>
      </c>
      <c r="S235" s="350">
        <f t="shared" si="39"/>
        <v>0</v>
      </c>
      <c r="T235" s="350">
        <f t="shared" si="40"/>
        <v>276.04350116420784</v>
      </c>
    </row>
    <row r="236" spans="1:20" outlineLevel="3">
      <c r="A236" s="429">
        <v>209</v>
      </c>
      <c r="B236" s="429" t="s">
        <v>311</v>
      </c>
      <c r="C236" s="429" t="s">
        <v>518</v>
      </c>
      <c r="D236" s="430">
        <v>2089</v>
      </c>
      <c r="E236" s="429">
        <v>2.5999999999999999E-2</v>
      </c>
      <c r="F236" s="432"/>
      <c r="G236" s="433">
        <f t="shared" si="33"/>
        <v>10759.711150442483</v>
      </c>
      <c r="H236" s="434">
        <f t="shared" si="34"/>
        <v>1.2999350032498367E-3</v>
      </c>
      <c r="I236" s="433">
        <f t="shared" si="35"/>
        <v>520.91677861972016</v>
      </c>
      <c r="J236" s="433">
        <f t="shared" si="36"/>
        <v>130.22919465493004</v>
      </c>
      <c r="K236" s="433">
        <f t="shared" si="37"/>
        <v>390.68758396479012</v>
      </c>
      <c r="L236" s="433">
        <f t="shared" si="38"/>
        <v>104</v>
      </c>
      <c r="M236" s="435"/>
      <c r="N236" s="433"/>
      <c r="O236" s="436">
        <f>+VLOOKUP(C236,Pop_ISTAT!$A$10:$J$273,10,FALSE)</f>
        <v>2097</v>
      </c>
      <c r="P236" s="435"/>
      <c r="Q236" s="460">
        <f t="shared" si="42"/>
        <v>2097</v>
      </c>
      <c r="R236" s="429">
        <v>218</v>
      </c>
      <c r="S236" s="350">
        <f t="shared" si="39"/>
        <v>0</v>
      </c>
      <c r="T236" s="350">
        <f t="shared" si="40"/>
        <v>520.91677861972016</v>
      </c>
    </row>
    <row r="237" spans="1:20" outlineLevel="3">
      <c r="A237" s="429">
        <v>213</v>
      </c>
      <c r="B237" s="429" t="s">
        <v>311</v>
      </c>
      <c r="C237" s="429" t="s">
        <v>522</v>
      </c>
      <c r="D237" s="430">
        <v>1963</v>
      </c>
      <c r="E237" s="429">
        <v>2.4E-2</v>
      </c>
      <c r="F237" s="432"/>
      <c r="G237" s="433">
        <f t="shared" si="33"/>
        <v>9932.0410619469094</v>
      </c>
      <c r="H237" s="434">
        <f t="shared" si="34"/>
        <v>1.1999400029998495E-3</v>
      </c>
      <c r="I237" s="433">
        <f t="shared" si="35"/>
        <v>489.49719312135505</v>
      </c>
      <c r="J237" s="433">
        <f t="shared" si="36"/>
        <v>122.37429828033876</v>
      </c>
      <c r="K237" s="433">
        <f t="shared" si="37"/>
        <v>367.12289484101632</v>
      </c>
      <c r="L237" s="433">
        <f t="shared" si="38"/>
        <v>96</v>
      </c>
      <c r="M237" s="435"/>
      <c r="N237" s="433"/>
      <c r="O237" s="436">
        <f>+VLOOKUP(C237,Pop_ISTAT!$A$10:$J$273,10,FALSE)</f>
        <v>2089</v>
      </c>
      <c r="P237" s="435"/>
      <c r="Q237" s="460">
        <f t="shared" si="42"/>
        <v>2089</v>
      </c>
      <c r="R237" s="429">
        <v>219</v>
      </c>
      <c r="S237" s="350">
        <f t="shared" si="39"/>
        <v>0</v>
      </c>
      <c r="T237" s="350">
        <f t="shared" si="40"/>
        <v>489.49719312135505</v>
      </c>
    </row>
    <row r="238" spans="1:20" outlineLevel="3">
      <c r="A238" s="429">
        <v>199</v>
      </c>
      <c r="B238" s="429" t="s">
        <v>311</v>
      </c>
      <c r="C238" s="429" t="s">
        <v>508</v>
      </c>
      <c r="D238" s="430">
        <v>2307</v>
      </c>
      <c r="E238" s="429">
        <v>2.9000000000000001E-2</v>
      </c>
      <c r="F238" s="432"/>
      <c r="G238" s="433">
        <f t="shared" si="33"/>
        <v>12001.216283185848</v>
      </c>
      <c r="H238" s="434">
        <f t="shared" si="34"/>
        <v>1.449927503624818E-3</v>
      </c>
      <c r="I238" s="433">
        <f t="shared" si="35"/>
        <v>575.27764876768526</v>
      </c>
      <c r="J238" s="433">
        <f t="shared" si="36"/>
        <v>143.81941219192132</v>
      </c>
      <c r="K238" s="433">
        <f t="shared" si="37"/>
        <v>431.45823657576398</v>
      </c>
      <c r="L238" s="433">
        <f t="shared" si="38"/>
        <v>116</v>
      </c>
      <c r="M238" s="435"/>
      <c r="N238" s="433"/>
      <c r="O238" s="436">
        <f>+VLOOKUP(C238,Pop_ISTAT!$A$10:$J$273,10,FALSE)</f>
        <v>2074</v>
      </c>
      <c r="P238" s="435"/>
      <c r="Q238" s="460">
        <f t="shared" si="42"/>
        <v>2074</v>
      </c>
      <c r="R238" s="429">
        <v>220</v>
      </c>
      <c r="S238" s="350">
        <f t="shared" si="39"/>
        <v>0</v>
      </c>
      <c r="T238" s="350">
        <f t="shared" si="40"/>
        <v>575.27764876768526</v>
      </c>
    </row>
    <row r="239" spans="1:20" outlineLevel="3">
      <c r="A239" s="429">
        <v>237</v>
      </c>
      <c r="B239" s="429" t="s">
        <v>309</v>
      </c>
      <c r="C239" s="429" t="s">
        <v>546</v>
      </c>
      <c r="D239" s="430">
        <v>1351</v>
      </c>
      <c r="E239" s="429">
        <v>1.7000000000000001E-2</v>
      </c>
      <c r="F239" s="432"/>
      <c r="G239" s="433">
        <f t="shared" si="33"/>
        <v>7035.1957522123948</v>
      </c>
      <c r="H239" s="434">
        <f t="shared" si="34"/>
        <v>8.4995750212489346E-4</v>
      </c>
      <c r="I239" s="433">
        <f t="shared" si="35"/>
        <v>336.8877778435816</v>
      </c>
      <c r="J239" s="433">
        <f t="shared" si="36"/>
        <v>84.221944460895401</v>
      </c>
      <c r="K239" s="433">
        <f t="shared" si="37"/>
        <v>252.6658333826862</v>
      </c>
      <c r="L239" s="433">
        <f t="shared" si="38"/>
        <v>68.000000000000014</v>
      </c>
      <c r="M239" s="435"/>
      <c r="N239" s="433"/>
      <c r="O239" s="436">
        <f>+VLOOKUP(C239,Pop_ISTAT!$A$10:$J$273,10,FALSE)</f>
        <v>1998</v>
      </c>
      <c r="P239" s="435"/>
      <c r="Q239" s="460">
        <f t="shared" si="42"/>
        <v>1998</v>
      </c>
      <c r="R239" s="429">
        <v>221</v>
      </c>
      <c r="S239" s="350">
        <f t="shared" si="39"/>
        <v>0</v>
      </c>
      <c r="T239" s="350">
        <f t="shared" si="40"/>
        <v>336.8877778435816</v>
      </c>
    </row>
    <row r="240" spans="1:20" outlineLevel="3">
      <c r="A240" s="429">
        <v>223</v>
      </c>
      <c r="B240" s="429" t="s">
        <v>311</v>
      </c>
      <c r="C240" s="429" t="s">
        <v>532</v>
      </c>
      <c r="D240" s="430">
        <v>1763</v>
      </c>
      <c r="E240" s="429">
        <v>2.1999999999999999E-2</v>
      </c>
      <c r="F240" s="432"/>
      <c r="G240" s="433">
        <f t="shared" si="33"/>
        <v>9104.3709734513322</v>
      </c>
      <c r="H240" s="434">
        <f t="shared" si="34"/>
        <v>1.0999450027498619E-3</v>
      </c>
      <c r="I240" s="433">
        <f t="shared" si="35"/>
        <v>439.62483518744216</v>
      </c>
      <c r="J240" s="433">
        <f t="shared" si="36"/>
        <v>109.90620879686054</v>
      </c>
      <c r="K240" s="433">
        <f t="shared" si="37"/>
        <v>329.71862639058162</v>
      </c>
      <c r="L240" s="433">
        <f t="shared" si="38"/>
        <v>88</v>
      </c>
      <c r="M240" s="435"/>
      <c r="N240" s="433"/>
      <c r="O240" s="436">
        <f>+VLOOKUP(C240,Pop_ISTAT!$A$10:$J$273,10,FALSE)</f>
        <v>1949</v>
      </c>
      <c r="P240" s="435"/>
      <c r="Q240" s="460">
        <f t="shared" si="42"/>
        <v>1949</v>
      </c>
      <c r="R240" s="429">
        <v>222</v>
      </c>
      <c r="S240" s="350">
        <f t="shared" si="39"/>
        <v>0</v>
      </c>
      <c r="T240" s="350">
        <f t="shared" si="40"/>
        <v>439.62483518744216</v>
      </c>
    </row>
    <row r="241" spans="1:20" outlineLevel="3">
      <c r="A241" s="429">
        <v>203</v>
      </c>
      <c r="B241" s="429" t="s">
        <v>311</v>
      </c>
      <c r="C241" s="429" t="s">
        <v>512</v>
      </c>
      <c r="D241" s="430">
        <v>2191</v>
      </c>
      <c r="E241" s="429">
        <v>2.7E-2</v>
      </c>
      <c r="F241" s="432"/>
      <c r="G241" s="433">
        <f t="shared" si="33"/>
        <v>11173.546194690271</v>
      </c>
      <c r="H241" s="434">
        <f t="shared" si="34"/>
        <v>1.3499325033748304E-3</v>
      </c>
      <c r="I241" s="433">
        <f t="shared" si="35"/>
        <v>546.35168116601574</v>
      </c>
      <c r="J241" s="433">
        <f t="shared" si="36"/>
        <v>136.58792029150393</v>
      </c>
      <c r="K241" s="433">
        <f t="shared" si="37"/>
        <v>409.76376087451183</v>
      </c>
      <c r="L241" s="433">
        <f t="shared" si="38"/>
        <v>108</v>
      </c>
      <c r="M241" s="435"/>
      <c r="N241" s="433"/>
      <c r="O241" s="436">
        <f>+VLOOKUP(C241,Pop_ISTAT!$A$10:$J$273,10,FALSE)</f>
        <v>1944</v>
      </c>
      <c r="P241" s="435"/>
      <c r="Q241" s="460">
        <f t="shared" si="42"/>
        <v>1944</v>
      </c>
      <c r="R241" s="429">
        <v>223</v>
      </c>
      <c r="S241" s="350">
        <f t="shared" si="39"/>
        <v>0</v>
      </c>
      <c r="T241" s="350">
        <f t="shared" si="40"/>
        <v>546.35168116601574</v>
      </c>
    </row>
    <row r="242" spans="1:20" outlineLevel="3">
      <c r="A242" s="429">
        <v>242</v>
      </c>
      <c r="B242" s="429" t="s">
        <v>311</v>
      </c>
      <c r="C242" s="429" t="s">
        <v>551</v>
      </c>
      <c r="D242" s="430">
        <v>1277</v>
      </c>
      <c r="E242" s="429">
        <v>1.6E-2</v>
      </c>
      <c r="F242" s="432"/>
      <c r="G242" s="433">
        <f t="shared" si="33"/>
        <v>6621.3607079646063</v>
      </c>
      <c r="H242" s="434">
        <f t="shared" si="34"/>
        <v>7.9996000199989965E-4</v>
      </c>
      <c r="I242" s="433">
        <f t="shared" si="35"/>
        <v>318.43500540803382</v>
      </c>
      <c r="J242" s="433">
        <f t="shared" si="36"/>
        <v>79.608751352008454</v>
      </c>
      <c r="K242" s="433">
        <f t="shared" si="37"/>
        <v>238.82625405602536</v>
      </c>
      <c r="L242" s="433">
        <f t="shared" si="38"/>
        <v>64</v>
      </c>
      <c r="M242" s="435"/>
      <c r="N242" s="433"/>
      <c r="O242" s="436">
        <f>+VLOOKUP(C242,Pop_ISTAT!$A$10:$J$273,10,FALSE)</f>
        <v>1821</v>
      </c>
      <c r="P242" s="435"/>
      <c r="Q242" s="460">
        <f t="shared" si="42"/>
        <v>1821</v>
      </c>
      <c r="R242" s="429">
        <v>224</v>
      </c>
      <c r="S242" s="350">
        <f t="shared" si="39"/>
        <v>0</v>
      </c>
      <c r="T242" s="350">
        <f t="shared" si="40"/>
        <v>318.43500540803382</v>
      </c>
    </row>
    <row r="243" spans="1:20" outlineLevel="3">
      <c r="A243" s="429">
        <v>241</v>
      </c>
      <c r="B243" s="429" t="s">
        <v>311</v>
      </c>
      <c r="C243" s="429" t="s">
        <v>550</v>
      </c>
      <c r="D243" s="430">
        <v>1303</v>
      </c>
      <c r="E243" s="429">
        <v>1.6E-2</v>
      </c>
      <c r="F243" s="432"/>
      <c r="G243" s="433">
        <f t="shared" si="33"/>
        <v>6621.3607079646063</v>
      </c>
      <c r="H243" s="434">
        <f t="shared" si="34"/>
        <v>7.9996000199989965E-4</v>
      </c>
      <c r="I243" s="433">
        <f t="shared" si="35"/>
        <v>324.91841193944248</v>
      </c>
      <c r="J243" s="433">
        <f t="shared" si="36"/>
        <v>81.22960298486062</v>
      </c>
      <c r="K243" s="433">
        <f t="shared" si="37"/>
        <v>243.68880895458187</v>
      </c>
      <c r="L243" s="433">
        <f t="shared" si="38"/>
        <v>64</v>
      </c>
      <c r="M243" s="435"/>
      <c r="N243" s="433"/>
      <c r="O243" s="436">
        <f>+VLOOKUP(C243,Pop_ISTAT!$A$10:$J$273,10,FALSE)</f>
        <v>1815</v>
      </c>
      <c r="P243" s="435"/>
      <c r="Q243" s="460">
        <f t="shared" si="42"/>
        <v>1815</v>
      </c>
      <c r="R243" s="429">
        <v>225</v>
      </c>
      <c r="S243" s="350">
        <f t="shared" si="39"/>
        <v>0</v>
      </c>
      <c r="T243" s="350">
        <f t="shared" si="40"/>
        <v>324.91841193944248</v>
      </c>
    </row>
    <row r="244" spans="1:20" outlineLevel="3">
      <c r="A244" s="429">
        <v>224</v>
      </c>
      <c r="B244" s="429" t="s">
        <v>309</v>
      </c>
      <c r="C244" s="429" t="s">
        <v>533</v>
      </c>
      <c r="D244" s="430">
        <v>1734</v>
      </c>
      <c r="E244" s="429">
        <v>2.1999999999999999E-2</v>
      </c>
      <c r="F244" s="432"/>
      <c r="G244" s="433">
        <f t="shared" si="33"/>
        <v>9104.3709734513322</v>
      </c>
      <c r="H244" s="434">
        <f t="shared" si="34"/>
        <v>1.0999450027498619E-3</v>
      </c>
      <c r="I244" s="433">
        <f t="shared" si="35"/>
        <v>432.39334328702478</v>
      </c>
      <c r="J244" s="433">
        <f t="shared" si="36"/>
        <v>108.09833582175619</v>
      </c>
      <c r="K244" s="433">
        <f t="shared" si="37"/>
        <v>324.29500746526855</v>
      </c>
      <c r="L244" s="433">
        <f t="shared" si="38"/>
        <v>88</v>
      </c>
      <c r="M244" s="435"/>
      <c r="N244" s="433"/>
      <c r="O244" s="436">
        <f>+VLOOKUP(C244,Pop_ISTAT!$A$10:$J$273,10,FALSE)</f>
        <v>1775</v>
      </c>
      <c r="P244" s="435"/>
      <c r="Q244" s="460">
        <f t="shared" si="42"/>
        <v>1775</v>
      </c>
      <c r="R244" s="429">
        <v>226</v>
      </c>
      <c r="S244" s="350">
        <f t="shared" si="39"/>
        <v>0</v>
      </c>
      <c r="T244" s="350">
        <f t="shared" si="40"/>
        <v>432.39334328702478</v>
      </c>
    </row>
    <row r="245" spans="1:20" outlineLevel="3">
      <c r="A245" s="429">
        <v>240</v>
      </c>
      <c r="B245" s="429" t="s">
        <v>307</v>
      </c>
      <c r="C245" s="429" t="s">
        <v>549</v>
      </c>
      <c r="D245" s="430">
        <v>1311</v>
      </c>
      <c r="E245" s="429">
        <v>1.6E-2</v>
      </c>
      <c r="F245" s="432"/>
      <c r="G245" s="433">
        <f t="shared" si="33"/>
        <v>6621.3607079646063</v>
      </c>
      <c r="H245" s="434">
        <f t="shared" si="34"/>
        <v>7.9996000199989965E-4</v>
      </c>
      <c r="I245" s="433">
        <f t="shared" si="35"/>
        <v>326.91330625679899</v>
      </c>
      <c r="J245" s="433">
        <f t="shared" si="36"/>
        <v>81.728326564199747</v>
      </c>
      <c r="K245" s="433">
        <f t="shared" si="37"/>
        <v>245.18497969259926</v>
      </c>
      <c r="L245" s="433">
        <f t="shared" si="38"/>
        <v>64</v>
      </c>
      <c r="M245" s="435"/>
      <c r="N245" s="433"/>
      <c r="O245" s="436">
        <f>+VLOOKUP(C245,Pop_ISTAT!$A$10:$J$273,10,FALSE)</f>
        <v>1757</v>
      </c>
      <c r="P245" s="435"/>
      <c r="Q245" s="460">
        <f t="shared" si="42"/>
        <v>1757</v>
      </c>
      <c r="R245" s="429">
        <v>227</v>
      </c>
      <c r="S245" s="350">
        <f t="shared" si="39"/>
        <v>0</v>
      </c>
      <c r="T245" s="350">
        <f t="shared" si="40"/>
        <v>326.91330625679899</v>
      </c>
    </row>
    <row r="246" spans="1:20" outlineLevel="3">
      <c r="A246" s="429">
        <v>131</v>
      </c>
      <c r="B246" s="429" t="s">
        <v>309</v>
      </c>
      <c r="C246" s="429" t="s">
        <v>441</v>
      </c>
      <c r="D246" s="430">
        <v>4216</v>
      </c>
      <c r="E246" s="429">
        <v>5.2999999999999999E-2</v>
      </c>
      <c r="F246" s="432"/>
      <c r="G246" s="433">
        <f t="shared" si="33"/>
        <v>21933.257345132755</v>
      </c>
      <c r="H246" s="434">
        <f t="shared" si="34"/>
        <v>2.6498675066246673E-3</v>
      </c>
      <c r="I246" s="433">
        <f t="shared" si="35"/>
        <v>1051.3093052468837</v>
      </c>
      <c r="J246" s="433">
        <f t="shared" si="36"/>
        <v>262.82732631172092</v>
      </c>
      <c r="K246" s="433">
        <f t="shared" si="37"/>
        <v>788.48197893516272</v>
      </c>
      <c r="L246" s="433">
        <f t="shared" si="38"/>
        <v>212</v>
      </c>
      <c r="M246" s="435"/>
      <c r="N246" s="433"/>
      <c r="O246" s="436">
        <f>+VLOOKUP(C246,Pop_ISTAT!$A$10:$J$273,10,FALSE)</f>
        <v>1751</v>
      </c>
      <c r="P246" s="435"/>
      <c r="Q246" s="460">
        <f t="shared" si="42"/>
        <v>1751</v>
      </c>
      <c r="R246" s="429">
        <v>228</v>
      </c>
      <c r="S246" s="350">
        <f t="shared" si="39"/>
        <v>0</v>
      </c>
      <c r="T246" s="350">
        <f t="shared" si="40"/>
        <v>1051.3093052468837</v>
      </c>
    </row>
    <row r="247" spans="1:20" outlineLevel="3">
      <c r="A247" s="429">
        <v>245</v>
      </c>
      <c r="B247" s="429" t="s">
        <v>311</v>
      </c>
      <c r="C247" s="429" t="s">
        <v>554</v>
      </c>
      <c r="D247" s="430">
        <v>1223</v>
      </c>
      <c r="E247" s="429">
        <v>1.4999999999999999E-2</v>
      </c>
      <c r="F247" s="432"/>
      <c r="G247" s="433">
        <f t="shared" si="33"/>
        <v>6207.5256637168177</v>
      </c>
      <c r="H247" s="434">
        <f t="shared" si="34"/>
        <v>7.4996250187490585E-4</v>
      </c>
      <c r="I247" s="433">
        <f t="shared" si="35"/>
        <v>304.96946876587731</v>
      </c>
      <c r="J247" s="433">
        <f t="shared" si="36"/>
        <v>76.242367191469327</v>
      </c>
      <c r="K247" s="433">
        <f t="shared" si="37"/>
        <v>228.72710157440798</v>
      </c>
      <c r="L247" s="433">
        <f t="shared" si="38"/>
        <v>60</v>
      </c>
      <c r="M247" s="435"/>
      <c r="N247" s="433"/>
      <c r="O247" s="436">
        <f>+VLOOKUP(C247,Pop_ISTAT!$A$10:$J$273,10,FALSE)</f>
        <v>1719</v>
      </c>
      <c r="P247" s="435"/>
      <c r="Q247" s="460">
        <f t="shared" si="42"/>
        <v>1719</v>
      </c>
      <c r="R247" s="429">
        <v>229</v>
      </c>
      <c r="S247" s="350">
        <f t="shared" si="39"/>
        <v>0</v>
      </c>
      <c r="T247" s="350">
        <f t="shared" si="40"/>
        <v>304.96946876587731</v>
      </c>
    </row>
    <row r="248" spans="1:20" outlineLevel="3">
      <c r="A248" s="429">
        <v>207</v>
      </c>
      <c r="B248" s="429" t="s">
        <v>311</v>
      </c>
      <c r="C248" s="429" t="s">
        <v>516</v>
      </c>
      <c r="D248" s="430">
        <v>2142</v>
      </c>
      <c r="E248" s="429">
        <v>2.7E-2</v>
      </c>
      <c r="F248" s="432"/>
      <c r="G248" s="433">
        <f t="shared" si="33"/>
        <v>11173.546194690271</v>
      </c>
      <c r="H248" s="434">
        <f t="shared" si="34"/>
        <v>1.3499325033748304E-3</v>
      </c>
      <c r="I248" s="433">
        <f t="shared" si="35"/>
        <v>534.13295347220708</v>
      </c>
      <c r="J248" s="433">
        <f t="shared" si="36"/>
        <v>133.53323836805177</v>
      </c>
      <c r="K248" s="433">
        <f t="shared" si="37"/>
        <v>400.59971510415528</v>
      </c>
      <c r="L248" s="433">
        <f t="shared" si="38"/>
        <v>108</v>
      </c>
      <c r="M248" s="435"/>
      <c r="N248" s="433"/>
      <c r="O248" s="436">
        <f>+VLOOKUP(C248,Pop_ISTAT!$A$10:$J$273,10,FALSE)</f>
        <v>1645</v>
      </c>
      <c r="P248" s="435"/>
      <c r="Q248" s="460">
        <f t="shared" si="42"/>
        <v>1645</v>
      </c>
      <c r="R248" s="429">
        <v>230</v>
      </c>
      <c r="S248" s="350">
        <f t="shared" si="39"/>
        <v>0</v>
      </c>
      <c r="T248" s="350">
        <f t="shared" si="40"/>
        <v>534.13295347220708</v>
      </c>
    </row>
    <row r="249" spans="1:20" outlineLevel="3">
      <c r="A249" s="429">
        <v>210</v>
      </c>
      <c r="B249" s="429" t="s">
        <v>309</v>
      </c>
      <c r="C249" s="429" t="s">
        <v>519</v>
      </c>
      <c r="D249" s="430">
        <v>2031</v>
      </c>
      <c r="E249" s="429">
        <v>2.5000000000000001E-2</v>
      </c>
      <c r="F249" s="432"/>
      <c r="G249" s="433">
        <f t="shared" si="33"/>
        <v>10345.876106194695</v>
      </c>
      <c r="H249" s="434">
        <f t="shared" si="34"/>
        <v>1.249937503124843E-3</v>
      </c>
      <c r="I249" s="433">
        <f t="shared" si="35"/>
        <v>506.4537948188854</v>
      </c>
      <c r="J249" s="433">
        <f t="shared" si="36"/>
        <v>126.61344870472135</v>
      </c>
      <c r="K249" s="433">
        <f t="shared" si="37"/>
        <v>379.84034611416405</v>
      </c>
      <c r="L249" s="433">
        <f t="shared" si="38"/>
        <v>100</v>
      </c>
      <c r="M249" s="435"/>
      <c r="N249" s="433"/>
      <c r="O249" s="436">
        <f>+VLOOKUP(C249,Pop_ISTAT!$A$10:$J$273,10,FALSE)</f>
        <v>1622</v>
      </c>
      <c r="P249" s="435"/>
      <c r="Q249" s="460">
        <f t="shared" si="42"/>
        <v>1622</v>
      </c>
      <c r="R249" s="429">
        <v>231</v>
      </c>
      <c r="S249" s="350">
        <f t="shared" si="39"/>
        <v>0</v>
      </c>
      <c r="T249" s="350">
        <f t="shared" si="40"/>
        <v>506.4537948188854</v>
      </c>
    </row>
    <row r="250" spans="1:20" outlineLevel="3">
      <c r="A250" s="429">
        <v>239</v>
      </c>
      <c r="B250" s="429" t="s">
        <v>309</v>
      </c>
      <c r="C250" s="429" t="s">
        <v>548</v>
      </c>
      <c r="D250" s="430">
        <v>1315</v>
      </c>
      <c r="E250" s="429">
        <v>1.6E-2</v>
      </c>
      <c r="F250" s="432"/>
      <c r="G250" s="433">
        <f t="shared" si="33"/>
        <v>6621.3607079646063</v>
      </c>
      <c r="H250" s="434">
        <f t="shared" si="34"/>
        <v>7.9996000199989965E-4</v>
      </c>
      <c r="I250" s="433">
        <f t="shared" si="35"/>
        <v>327.91075341547725</v>
      </c>
      <c r="J250" s="433">
        <f t="shared" si="36"/>
        <v>81.977688353869311</v>
      </c>
      <c r="K250" s="433">
        <f t="shared" si="37"/>
        <v>245.93306506160792</v>
      </c>
      <c r="L250" s="433">
        <f t="shared" si="38"/>
        <v>64</v>
      </c>
      <c r="M250" s="435"/>
      <c r="N250" s="433"/>
      <c r="O250" s="436">
        <f>+VLOOKUP(C250,Pop_ISTAT!$A$10:$J$273,10,FALSE)</f>
        <v>1618</v>
      </c>
      <c r="P250" s="435"/>
      <c r="Q250" s="460">
        <f t="shared" si="42"/>
        <v>1618</v>
      </c>
      <c r="R250" s="429">
        <v>232</v>
      </c>
      <c r="S250" s="350">
        <f t="shared" si="39"/>
        <v>0</v>
      </c>
      <c r="T250" s="350">
        <f t="shared" si="40"/>
        <v>327.91075341547725</v>
      </c>
    </row>
    <row r="251" spans="1:20" outlineLevel="3">
      <c r="A251" s="429">
        <v>225</v>
      </c>
      <c r="B251" s="429" t="s">
        <v>311</v>
      </c>
      <c r="C251" s="429" t="s">
        <v>534</v>
      </c>
      <c r="D251" s="430">
        <v>1730</v>
      </c>
      <c r="E251" s="429">
        <v>2.1999999999999999E-2</v>
      </c>
      <c r="F251" s="432"/>
      <c r="G251" s="433">
        <f t="shared" si="33"/>
        <v>9104.3709734513322</v>
      </c>
      <c r="H251" s="434">
        <f t="shared" si="34"/>
        <v>1.0999450027498619E-3</v>
      </c>
      <c r="I251" s="433">
        <f t="shared" si="35"/>
        <v>431.39589612834652</v>
      </c>
      <c r="J251" s="433">
        <f t="shared" si="36"/>
        <v>107.84897403208663</v>
      </c>
      <c r="K251" s="433">
        <f t="shared" si="37"/>
        <v>323.54692209625989</v>
      </c>
      <c r="L251" s="433">
        <f t="shared" si="38"/>
        <v>88</v>
      </c>
      <c r="M251" s="435"/>
      <c r="N251" s="433"/>
      <c r="O251" s="436">
        <f>+VLOOKUP(C251,Pop_ISTAT!$A$10:$J$273,10,FALSE)</f>
        <v>1567</v>
      </c>
      <c r="P251" s="435"/>
      <c r="Q251" s="460">
        <f t="shared" si="42"/>
        <v>1567</v>
      </c>
      <c r="R251" s="429">
        <v>233</v>
      </c>
      <c r="S251" s="350">
        <f t="shared" si="39"/>
        <v>0</v>
      </c>
      <c r="T251" s="350">
        <f t="shared" si="40"/>
        <v>431.39589612834652</v>
      </c>
    </row>
    <row r="252" spans="1:20" outlineLevel="3">
      <c r="A252" s="429">
        <v>226</v>
      </c>
      <c r="B252" s="429" t="s">
        <v>311</v>
      </c>
      <c r="C252" s="429" t="s">
        <v>535</v>
      </c>
      <c r="D252" s="430">
        <v>1713</v>
      </c>
      <c r="E252" s="429">
        <v>2.1000000000000001E-2</v>
      </c>
      <c r="F252" s="432"/>
      <c r="G252" s="433">
        <f t="shared" si="33"/>
        <v>8690.5359292035446</v>
      </c>
      <c r="H252" s="434">
        <f t="shared" si="34"/>
        <v>1.0499475026248682E-3</v>
      </c>
      <c r="I252" s="433">
        <f t="shared" si="35"/>
        <v>427.15674570396391</v>
      </c>
      <c r="J252" s="433">
        <f t="shared" si="36"/>
        <v>106.78918642599098</v>
      </c>
      <c r="K252" s="433">
        <f t="shared" si="37"/>
        <v>320.36755927797293</v>
      </c>
      <c r="L252" s="433">
        <f t="shared" si="38"/>
        <v>84</v>
      </c>
      <c r="M252" s="435"/>
      <c r="N252" s="433"/>
      <c r="O252" s="436">
        <f>+VLOOKUP(C252,Pop_ISTAT!$A$10:$J$273,10,FALSE)</f>
        <v>1539</v>
      </c>
      <c r="P252" s="435"/>
      <c r="Q252" s="460">
        <f t="shared" si="42"/>
        <v>1539</v>
      </c>
      <c r="R252" s="429">
        <v>234</v>
      </c>
      <c r="S252" s="350">
        <f t="shared" si="39"/>
        <v>0</v>
      </c>
      <c r="T252" s="350">
        <f t="shared" si="40"/>
        <v>427.15674570396391</v>
      </c>
    </row>
    <row r="253" spans="1:20" outlineLevel="3">
      <c r="A253" s="429">
        <v>254</v>
      </c>
      <c r="B253" s="429" t="s">
        <v>309</v>
      </c>
      <c r="C253" s="429" t="s">
        <v>563</v>
      </c>
      <c r="D253" s="429">
        <v>80</v>
      </c>
      <c r="E253" s="429">
        <v>1E-3</v>
      </c>
      <c r="F253" s="432"/>
      <c r="G253" s="433">
        <f t="shared" si="33"/>
        <v>413.83504424778789</v>
      </c>
      <c r="H253" s="434">
        <f t="shared" si="34"/>
        <v>4.9997500124993728E-5</v>
      </c>
      <c r="I253" s="433">
        <f t="shared" si="35"/>
        <v>19.948943173565155</v>
      </c>
      <c r="J253" s="433">
        <f t="shared" si="36"/>
        <v>4.9872357933912888</v>
      </c>
      <c r="K253" s="433">
        <f t="shared" si="37"/>
        <v>14.961707380173866</v>
      </c>
      <c r="L253" s="433">
        <f t="shared" si="38"/>
        <v>4</v>
      </c>
      <c r="M253" s="435"/>
      <c r="N253" s="433"/>
      <c r="O253" s="436">
        <f>+VLOOKUP(C253,Pop_ISTAT!$A$10:$J$273,10,FALSE)</f>
        <v>1499</v>
      </c>
      <c r="P253" s="435"/>
      <c r="Q253" s="460">
        <f t="shared" si="42"/>
        <v>1499</v>
      </c>
      <c r="R253" s="429">
        <v>235</v>
      </c>
      <c r="S253" s="350">
        <f t="shared" si="39"/>
        <v>0</v>
      </c>
      <c r="T253" s="350">
        <f t="shared" si="40"/>
        <v>19.948943173565155</v>
      </c>
    </row>
    <row r="254" spans="1:20" outlineLevel="2">
      <c r="A254" s="429">
        <v>236</v>
      </c>
      <c r="B254" s="429" t="s">
        <v>311</v>
      </c>
      <c r="C254" s="429" t="s">
        <v>545</v>
      </c>
      <c r="D254" s="430">
        <v>1451</v>
      </c>
      <c r="E254" s="429">
        <v>1.7999999999999999E-2</v>
      </c>
      <c r="F254" s="432"/>
      <c r="G254" s="433">
        <f t="shared" si="33"/>
        <v>7449.0307964601798</v>
      </c>
      <c r="H254" s="434">
        <f t="shared" si="34"/>
        <v>8.9995500224988683E-4</v>
      </c>
      <c r="I254" s="433">
        <f t="shared" si="35"/>
        <v>361.82395681053805</v>
      </c>
      <c r="J254" s="433">
        <f t="shared" si="36"/>
        <v>90.455989202634512</v>
      </c>
      <c r="K254" s="433">
        <f t="shared" si="37"/>
        <v>271.36796760790355</v>
      </c>
      <c r="L254" s="433">
        <f t="shared" si="38"/>
        <v>71.999999999999986</v>
      </c>
      <c r="M254" s="435"/>
      <c r="N254" s="433"/>
      <c r="O254" s="436">
        <f>+VLOOKUP(C254,Pop_ISTAT!$A$10:$J$273,10,FALSE)</f>
        <v>1480</v>
      </c>
      <c r="P254" s="435"/>
      <c r="Q254" s="460">
        <f t="shared" si="42"/>
        <v>1480</v>
      </c>
      <c r="R254" s="429">
        <v>236</v>
      </c>
      <c r="S254" s="350">
        <f t="shared" si="39"/>
        <v>0</v>
      </c>
      <c r="T254" s="350">
        <f t="shared" si="40"/>
        <v>361.82395681053805</v>
      </c>
    </row>
    <row r="255" spans="1:20" outlineLevel="2">
      <c r="A255" s="439">
        <v>231</v>
      </c>
      <c r="B255" s="439" t="s">
        <v>309</v>
      </c>
      <c r="C255" s="439" t="s">
        <v>540</v>
      </c>
      <c r="D255" s="440">
        <v>1590</v>
      </c>
      <c r="E255" s="439">
        <v>0.02</v>
      </c>
      <c r="F255" s="441" t="s">
        <v>619</v>
      </c>
      <c r="G255" s="442">
        <f t="shared" si="33"/>
        <v>8276.7008849557569</v>
      </c>
      <c r="H255" s="443">
        <f t="shared" si="34"/>
        <v>9.9995000249987454E-4</v>
      </c>
      <c r="I255" s="442">
        <f t="shared" si="35"/>
        <v>396.48524557460752</v>
      </c>
      <c r="J255" s="442">
        <f t="shared" si="36"/>
        <v>99.121311393651879</v>
      </c>
      <c r="K255" s="442">
        <f t="shared" si="37"/>
        <v>297.36393418095565</v>
      </c>
      <c r="L255" s="442">
        <f t="shared" si="38"/>
        <v>80</v>
      </c>
      <c r="M255" s="444"/>
      <c r="N255" s="442"/>
      <c r="O255" s="445">
        <f>+VLOOKUP(C255,Pop_ISTAT!$A$10:$J$273,10,FALSE)</f>
        <v>1467</v>
      </c>
      <c r="P255" s="444"/>
      <c r="Q255" s="446">
        <f>+O255</f>
        <v>1467</v>
      </c>
      <c r="R255" s="439">
        <v>237</v>
      </c>
      <c r="S255" s="380">
        <f t="shared" si="39"/>
        <v>0</v>
      </c>
      <c r="T255" s="380">
        <f t="shared" si="40"/>
        <v>396.48524557460752</v>
      </c>
    </row>
    <row r="256" spans="1:20" outlineLevel="2">
      <c r="A256" s="429">
        <v>216</v>
      </c>
      <c r="B256" s="429" t="s">
        <v>311</v>
      </c>
      <c r="C256" s="429" t="s">
        <v>525</v>
      </c>
      <c r="D256" s="430">
        <v>1882</v>
      </c>
      <c r="E256" s="429">
        <v>2.3E-2</v>
      </c>
      <c r="F256" s="432"/>
      <c r="G256" s="433">
        <f t="shared" si="33"/>
        <v>9518.2060176991199</v>
      </c>
      <c r="H256" s="434">
        <f t="shared" si="34"/>
        <v>1.1499425028748556E-3</v>
      </c>
      <c r="I256" s="433">
        <f t="shared" si="35"/>
        <v>469.29888815812029</v>
      </c>
      <c r="J256" s="433">
        <f t="shared" si="36"/>
        <v>117.32472203953007</v>
      </c>
      <c r="K256" s="433">
        <f t="shared" si="37"/>
        <v>351.97416611859023</v>
      </c>
      <c r="L256" s="433">
        <f t="shared" si="38"/>
        <v>92</v>
      </c>
      <c r="M256" s="435"/>
      <c r="N256" s="433"/>
      <c r="O256" s="436">
        <f>+VLOOKUP(C256,Pop_ISTAT!$A$10:$J$273,10,FALSE)</f>
        <v>1466</v>
      </c>
      <c r="P256" s="435"/>
      <c r="Q256" s="460">
        <f t="shared" ref="Q256:Q275" si="43">+O256</f>
        <v>1466</v>
      </c>
      <c r="R256" s="429">
        <v>238</v>
      </c>
      <c r="S256" s="350">
        <f t="shared" si="39"/>
        <v>0</v>
      </c>
      <c r="T256" s="350">
        <f t="shared" si="40"/>
        <v>469.29888815812029</v>
      </c>
    </row>
    <row r="257" spans="1:20" outlineLevel="2">
      <c r="A257" s="429">
        <v>235</v>
      </c>
      <c r="B257" s="429" t="s">
        <v>309</v>
      </c>
      <c r="C257" s="429" t="s">
        <v>544</v>
      </c>
      <c r="D257" s="430">
        <v>1456</v>
      </c>
      <c r="E257" s="429">
        <v>1.7999999999999999E-2</v>
      </c>
      <c r="F257" s="432"/>
      <c r="G257" s="433">
        <f t="shared" si="33"/>
        <v>7449.0307964601798</v>
      </c>
      <c r="H257" s="434">
        <f t="shared" si="34"/>
        <v>8.9995500224988683E-4</v>
      </c>
      <c r="I257" s="433">
        <f t="shared" si="35"/>
        <v>363.07076575888584</v>
      </c>
      <c r="J257" s="433">
        <f t="shared" si="36"/>
        <v>90.76769143972146</v>
      </c>
      <c r="K257" s="433">
        <f t="shared" si="37"/>
        <v>272.30307431916435</v>
      </c>
      <c r="L257" s="433">
        <f t="shared" si="38"/>
        <v>71.999999999999986</v>
      </c>
      <c r="M257" s="435"/>
      <c r="N257" s="433"/>
      <c r="O257" s="436">
        <f>+VLOOKUP(C257,Pop_ISTAT!$A$10:$J$273,10,FALSE)</f>
        <v>1358</v>
      </c>
      <c r="P257" s="435"/>
      <c r="Q257" s="460">
        <f t="shared" si="43"/>
        <v>1358</v>
      </c>
      <c r="R257" s="429">
        <v>239</v>
      </c>
      <c r="S257" s="350">
        <f t="shared" si="39"/>
        <v>0</v>
      </c>
      <c r="T257" s="350">
        <f t="shared" si="40"/>
        <v>363.07076575888584</v>
      </c>
    </row>
    <row r="258" spans="1:20" outlineLevel="1">
      <c r="A258" s="429">
        <v>238</v>
      </c>
      <c r="B258" s="429" t="s">
        <v>311</v>
      </c>
      <c r="C258" s="429" t="s">
        <v>547</v>
      </c>
      <c r="D258" s="430">
        <v>1323</v>
      </c>
      <c r="E258" s="429">
        <v>1.6E-2</v>
      </c>
      <c r="F258" s="432"/>
      <c r="G258" s="433">
        <f t="shared" si="33"/>
        <v>6621.3607079646063</v>
      </c>
      <c r="H258" s="434">
        <f t="shared" si="34"/>
        <v>7.9996000199989965E-4</v>
      </c>
      <c r="I258" s="433">
        <f t="shared" si="35"/>
        <v>329.90564773283376</v>
      </c>
      <c r="J258" s="433">
        <f t="shared" si="36"/>
        <v>82.476411933208439</v>
      </c>
      <c r="K258" s="433">
        <f t="shared" si="37"/>
        <v>247.4292357996253</v>
      </c>
      <c r="L258" s="433">
        <f t="shared" si="38"/>
        <v>64</v>
      </c>
      <c r="M258" s="435"/>
      <c r="N258" s="433"/>
      <c r="O258" s="436">
        <f>+VLOOKUP(C258,Pop_ISTAT!$A$10:$J$273,10,FALSE)</f>
        <v>1353</v>
      </c>
      <c r="P258" s="435"/>
      <c r="Q258" s="460">
        <f t="shared" si="43"/>
        <v>1353</v>
      </c>
      <c r="R258" s="429">
        <v>240</v>
      </c>
      <c r="S258" s="350">
        <f t="shared" si="39"/>
        <v>0</v>
      </c>
      <c r="T258" s="350">
        <f t="shared" si="40"/>
        <v>329.90564773283376</v>
      </c>
    </row>
    <row r="259" spans="1:20" outlineLevel="1">
      <c r="A259" s="429">
        <v>253</v>
      </c>
      <c r="B259" s="429" t="s">
        <v>309</v>
      </c>
      <c r="C259" s="429" t="s">
        <v>562</v>
      </c>
      <c r="D259" s="429">
        <v>84</v>
      </c>
      <c r="E259" s="429">
        <v>1E-3</v>
      </c>
      <c r="F259" s="432"/>
      <c r="G259" s="433">
        <f t="shared" si="33"/>
        <v>413.83504424778789</v>
      </c>
      <c r="H259" s="434">
        <f t="shared" si="34"/>
        <v>4.9997500124993728E-5</v>
      </c>
      <c r="I259" s="433">
        <f t="shared" si="35"/>
        <v>20.946390332243414</v>
      </c>
      <c r="J259" s="433">
        <f t="shared" si="36"/>
        <v>5.2365975830608535</v>
      </c>
      <c r="K259" s="433">
        <f t="shared" si="37"/>
        <v>15.709792749182562</v>
      </c>
      <c r="L259" s="433">
        <f t="shared" si="38"/>
        <v>4</v>
      </c>
      <c r="M259" s="435"/>
      <c r="N259" s="433"/>
      <c r="O259" s="436">
        <f>+VLOOKUP(C259,Pop_ISTAT!$A$10:$J$273,10,FALSE)</f>
        <v>1298</v>
      </c>
      <c r="P259" s="435"/>
      <c r="Q259" s="460">
        <f t="shared" si="43"/>
        <v>1298</v>
      </c>
      <c r="R259" s="429">
        <v>241</v>
      </c>
      <c r="S259" s="350">
        <f t="shared" si="39"/>
        <v>0</v>
      </c>
      <c r="T259" s="350">
        <f t="shared" si="40"/>
        <v>20.946390332243414</v>
      </c>
    </row>
    <row r="260" spans="1:20" outlineLevel="1">
      <c r="A260" s="429">
        <v>249</v>
      </c>
      <c r="B260" s="429" t="s">
        <v>306</v>
      </c>
      <c r="C260" s="429" t="s">
        <v>558</v>
      </c>
      <c r="D260" s="429">
        <v>972</v>
      </c>
      <c r="E260" s="429">
        <v>1.2E-2</v>
      </c>
      <c r="F260" s="432"/>
      <c r="G260" s="433">
        <f t="shared" si="33"/>
        <v>4966.0205309734547</v>
      </c>
      <c r="H260" s="434">
        <f t="shared" si="34"/>
        <v>5.9997000149992477E-4</v>
      </c>
      <c r="I260" s="433">
        <f t="shared" si="35"/>
        <v>242.37965955881666</v>
      </c>
      <c r="J260" s="433">
        <f t="shared" si="36"/>
        <v>60.594914889704164</v>
      </c>
      <c r="K260" s="433">
        <f t="shared" si="37"/>
        <v>181.78474466911248</v>
      </c>
      <c r="L260" s="433">
        <f t="shared" si="38"/>
        <v>48</v>
      </c>
      <c r="M260" s="435"/>
      <c r="N260" s="433"/>
      <c r="O260" s="436">
        <f>+VLOOKUP(C260,Pop_ISTAT!$A$10:$J$273,10,FALSE)</f>
        <v>1274</v>
      </c>
      <c r="P260" s="435"/>
      <c r="Q260" s="460">
        <f t="shared" si="43"/>
        <v>1274</v>
      </c>
      <c r="R260" s="429">
        <v>242</v>
      </c>
      <c r="S260" s="350">
        <f t="shared" si="39"/>
        <v>0</v>
      </c>
      <c r="T260" s="350">
        <f t="shared" si="40"/>
        <v>242.37965955881666</v>
      </c>
    </row>
    <row r="261" spans="1:20" outlineLevel="1">
      <c r="A261" s="429">
        <v>177</v>
      </c>
      <c r="B261" s="429" t="s">
        <v>309</v>
      </c>
      <c r="C261" s="429" t="s">
        <v>487</v>
      </c>
      <c r="D261" s="430">
        <v>2952</v>
      </c>
      <c r="E261" s="429">
        <v>3.6999999999999998E-2</v>
      </c>
      <c r="F261" s="432"/>
      <c r="G261" s="433">
        <f t="shared" si="33"/>
        <v>15311.896637168149</v>
      </c>
      <c r="H261" s="434">
        <f t="shared" si="34"/>
        <v>1.8499075046247676E-3</v>
      </c>
      <c r="I261" s="433">
        <f t="shared" si="35"/>
        <v>736.11600310455424</v>
      </c>
      <c r="J261" s="433">
        <f t="shared" si="36"/>
        <v>184.02900077613856</v>
      </c>
      <c r="K261" s="433">
        <f t="shared" si="37"/>
        <v>552.08700232841568</v>
      </c>
      <c r="L261" s="433">
        <f t="shared" si="38"/>
        <v>148</v>
      </c>
      <c r="M261" s="435"/>
      <c r="N261" s="433"/>
      <c r="O261" s="436">
        <f>+VLOOKUP(C261,Pop_ISTAT!$A$10:$J$273,10,FALSE)</f>
        <v>1257</v>
      </c>
      <c r="P261" s="435"/>
      <c r="Q261" s="460">
        <f t="shared" si="43"/>
        <v>1257</v>
      </c>
      <c r="R261" s="429">
        <v>243</v>
      </c>
      <c r="S261" s="350">
        <f t="shared" si="39"/>
        <v>0</v>
      </c>
      <c r="T261" s="350">
        <f t="shared" si="40"/>
        <v>736.11600310455424</v>
      </c>
    </row>
    <row r="262" spans="1:20" outlineLevel="1">
      <c r="A262" s="429">
        <v>214</v>
      </c>
      <c r="B262" s="429" t="s">
        <v>309</v>
      </c>
      <c r="C262" s="429" t="s">
        <v>523</v>
      </c>
      <c r="D262" s="430">
        <v>1898</v>
      </c>
      <c r="E262" s="429">
        <v>2.4E-2</v>
      </c>
      <c r="F262" s="432"/>
      <c r="G262" s="433">
        <f t="shared" si="33"/>
        <v>9932.0410619469094</v>
      </c>
      <c r="H262" s="434">
        <f t="shared" si="34"/>
        <v>1.1999400029998495E-3</v>
      </c>
      <c r="I262" s="433">
        <f t="shared" si="35"/>
        <v>473.28867679283337</v>
      </c>
      <c r="J262" s="433">
        <f t="shared" si="36"/>
        <v>118.32216919820834</v>
      </c>
      <c r="K262" s="433">
        <f t="shared" si="37"/>
        <v>354.966507594625</v>
      </c>
      <c r="L262" s="433">
        <f t="shared" si="38"/>
        <v>96</v>
      </c>
      <c r="M262" s="435"/>
      <c r="N262" s="433"/>
      <c r="O262" s="436">
        <f>+VLOOKUP(C262,Pop_ISTAT!$A$10:$J$273,10,FALSE)</f>
        <v>1180</v>
      </c>
      <c r="P262" s="435"/>
      <c r="Q262" s="460">
        <f t="shared" si="43"/>
        <v>1180</v>
      </c>
      <c r="R262" s="429">
        <v>244</v>
      </c>
      <c r="S262" s="350">
        <f t="shared" si="39"/>
        <v>0</v>
      </c>
      <c r="T262" s="350">
        <f t="shared" si="40"/>
        <v>473.28867679283337</v>
      </c>
    </row>
    <row r="263" spans="1:20" outlineLevel="1">
      <c r="A263" s="429">
        <v>243</v>
      </c>
      <c r="B263" s="429" t="s">
        <v>311</v>
      </c>
      <c r="C263" s="429" t="s">
        <v>552</v>
      </c>
      <c r="D263" s="430">
        <v>1265</v>
      </c>
      <c r="E263" s="429">
        <v>1.6E-2</v>
      </c>
      <c r="F263" s="432"/>
      <c r="G263" s="433">
        <f t="shared" si="33"/>
        <v>6621.3607079646063</v>
      </c>
      <c r="H263" s="434">
        <f t="shared" si="34"/>
        <v>7.9996000199989965E-4</v>
      </c>
      <c r="I263" s="433">
        <f t="shared" si="35"/>
        <v>315.44266393199905</v>
      </c>
      <c r="J263" s="433">
        <f t="shared" si="36"/>
        <v>78.860665982999762</v>
      </c>
      <c r="K263" s="433">
        <f t="shared" si="37"/>
        <v>236.58199794899929</v>
      </c>
      <c r="L263" s="433">
        <f t="shared" si="38"/>
        <v>64</v>
      </c>
      <c r="M263" s="435"/>
      <c r="N263" s="433"/>
      <c r="O263" s="436">
        <f>+VLOOKUP(C263,Pop_ISTAT!$A$10:$J$273,10,FALSE)</f>
        <v>1125</v>
      </c>
      <c r="P263" s="435"/>
      <c r="Q263" s="460">
        <f t="shared" si="43"/>
        <v>1125</v>
      </c>
      <c r="R263" s="429">
        <v>245</v>
      </c>
      <c r="S263" s="350">
        <f t="shared" si="39"/>
        <v>0</v>
      </c>
      <c r="T263" s="350">
        <f t="shared" si="40"/>
        <v>315.44266393199905</v>
      </c>
    </row>
    <row r="264" spans="1:20" outlineLevel="1">
      <c r="A264" s="429">
        <v>229</v>
      </c>
      <c r="B264" s="429" t="s">
        <v>309</v>
      </c>
      <c r="C264" s="429" t="s">
        <v>538</v>
      </c>
      <c r="D264" s="430">
        <v>1614</v>
      </c>
      <c r="E264" s="429">
        <v>0.02</v>
      </c>
      <c r="F264" s="432"/>
      <c r="G264" s="433">
        <f t="shared" si="33"/>
        <v>8276.7008849557569</v>
      </c>
      <c r="H264" s="434">
        <f t="shared" si="34"/>
        <v>9.9995000249987454E-4</v>
      </c>
      <c r="I264" s="433">
        <f t="shared" si="35"/>
        <v>402.46992852667705</v>
      </c>
      <c r="J264" s="433">
        <f t="shared" si="36"/>
        <v>100.61748213166926</v>
      </c>
      <c r="K264" s="433">
        <f t="shared" si="37"/>
        <v>301.8524463950078</v>
      </c>
      <c r="L264" s="433">
        <f t="shared" si="38"/>
        <v>80</v>
      </c>
      <c r="M264" s="435"/>
      <c r="N264" s="433"/>
      <c r="O264" s="436">
        <f>+VLOOKUP(C264,Pop_ISTAT!$A$10:$J$273,10,FALSE)</f>
        <v>1070</v>
      </c>
      <c r="P264" s="435"/>
      <c r="Q264" s="460">
        <f t="shared" si="43"/>
        <v>1070</v>
      </c>
      <c r="R264" s="429">
        <v>246</v>
      </c>
      <c r="S264" s="350">
        <f t="shared" si="39"/>
        <v>0</v>
      </c>
      <c r="T264" s="350">
        <f t="shared" si="40"/>
        <v>402.46992852667705</v>
      </c>
    </row>
    <row r="265" spans="1:20" outlineLevel="1">
      <c r="A265" s="429">
        <v>244</v>
      </c>
      <c r="B265" s="429" t="s">
        <v>309</v>
      </c>
      <c r="C265" s="429" t="s">
        <v>553</v>
      </c>
      <c r="D265" s="430">
        <v>1229</v>
      </c>
      <c r="E265" s="429">
        <v>1.4999999999999999E-2</v>
      </c>
      <c r="F265" s="432"/>
      <c r="G265" s="433">
        <f t="shared" si="33"/>
        <v>6207.5256637168177</v>
      </c>
      <c r="H265" s="434">
        <f t="shared" si="34"/>
        <v>7.4996250187490585E-4</v>
      </c>
      <c r="I265" s="433">
        <f t="shared" si="35"/>
        <v>306.46563950389475</v>
      </c>
      <c r="J265" s="433">
        <f t="shared" si="36"/>
        <v>76.616409875973687</v>
      </c>
      <c r="K265" s="433">
        <f t="shared" si="37"/>
        <v>229.84922962792106</v>
      </c>
      <c r="L265" s="433">
        <f t="shared" si="38"/>
        <v>60</v>
      </c>
      <c r="M265" s="435"/>
      <c r="N265" s="433"/>
      <c r="O265" s="436">
        <f>+VLOOKUP(C265,Pop_ISTAT!$A$10:$J$273,10,FALSE)</f>
        <v>987</v>
      </c>
      <c r="P265" s="435"/>
      <c r="Q265" s="460">
        <f t="shared" si="43"/>
        <v>987</v>
      </c>
      <c r="R265" s="429">
        <v>247</v>
      </c>
      <c r="S265" s="350">
        <f t="shared" si="39"/>
        <v>0</v>
      </c>
      <c r="T265" s="350">
        <f t="shared" si="40"/>
        <v>306.46563950389475</v>
      </c>
    </row>
    <row r="266" spans="1:20" outlineLevel="1">
      <c r="A266" s="429">
        <v>234</v>
      </c>
      <c r="B266" s="429" t="s">
        <v>309</v>
      </c>
      <c r="C266" s="429" t="s">
        <v>543</v>
      </c>
      <c r="D266" s="430">
        <v>1540</v>
      </c>
      <c r="E266" s="429">
        <v>1.9E-2</v>
      </c>
      <c r="F266" s="432"/>
      <c r="G266" s="433">
        <f t="shared" si="33"/>
        <v>7862.8658407079683</v>
      </c>
      <c r="H266" s="434">
        <f t="shared" si="34"/>
        <v>9.4995250237488063E-4</v>
      </c>
      <c r="I266" s="433">
        <f t="shared" si="35"/>
        <v>384.01715609112927</v>
      </c>
      <c r="J266" s="433">
        <f t="shared" si="36"/>
        <v>96.004289022782316</v>
      </c>
      <c r="K266" s="433">
        <f t="shared" si="37"/>
        <v>288.01286706834696</v>
      </c>
      <c r="L266" s="433">
        <f t="shared" si="38"/>
        <v>76</v>
      </c>
      <c r="M266" s="435"/>
      <c r="N266" s="433"/>
      <c r="O266" s="436">
        <f>+VLOOKUP(C266,Pop_ISTAT!$A$10:$J$273,10,FALSE)</f>
        <v>925</v>
      </c>
      <c r="P266" s="435"/>
      <c r="Q266" s="460">
        <f t="shared" si="43"/>
        <v>925</v>
      </c>
      <c r="R266" s="429">
        <v>248</v>
      </c>
      <c r="S266" s="350">
        <f t="shared" si="39"/>
        <v>0</v>
      </c>
      <c r="T266" s="350">
        <f t="shared" si="40"/>
        <v>384.01715609112927</v>
      </c>
    </row>
    <row r="267" spans="1:20" outlineLevel="1">
      <c r="A267" s="429">
        <v>252</v>
      </c>
      <c r="B267" s="429" t="s">
        <v>309</v>
      </c>
      <c r="C267" s="429" t="s">
        <v>561</v>
      </c>
      <c r="D267" s="429">
        <v>129</v>
      </c>
      <c r="E267" s="429">
        <v>2E-3</v>
      </c>
      <c r="F267" s="432"/>
      <c r="G267" s="433">
        <f t="shared" si="33"/>
        <v>827.67008849557578</v>
      </c>
      <c r="H267" s="434">
        <f t="shared" si="34"/>
        <v>9.9995000249987457E-5</v>
      </c>
      <c r="I267" s="433">
        <f t="shared" si="35"/>
        <v>32.167670867373815</v>
      </c>
      <c r="J267" s="433">
        <f t="shared" si="36"/>
        <v>8.0419177168434537</v>
      </c>
      <c r="K267" s="433">
        <f t="shared" si="37"/>
        <v>24.125753150530361</v>
      </c>
      <c r="L267" s="433">
        <f t="shared" si="38"/>
        <v>8</v>
      </c>
      <c r="M267" s="435"/>
      <c r="N267" s="433"/>
      <c r="O267" s="436">
        <f>+VLOOKUP(C267,Pop_ISTAT!$A$10:$J$273,10,FALSE)</f>
        <v>842</v>
      </c>
      <c r="P267" s="435"/>
      <c r="Q267" s="460">
        <f t="shared" si="43"/>
        <v>842</v>
      </c>
      <c r="R267" s="429">
        <v>249</v>
      </c>
      <c r="S267" s="350">
        <f t="shared" si="39"/>
        <v>0</v>
      </c>
      <c r="T267" s="350">
        <f t="shared" si="40"/>
        <v>32.167670867373815</v>
      </c>
    </row>
    <row r="268" spans="1:20" outlineLevel="1">
      <c r="A268" s="429">
        <v>255</v>
      </c>
      <c r="B268" s="429" t="s">
        <v>309</v>
      </c>
      <c r="C268" s="429" t="s">
        <v>564</v>
      </c>
      <c r="D268" s="429">
        <v>60</v>
      </c>
      <c r="E268" s="429">
        <v>1E-3</v>
      </c>
      <c r="F268" s="432"/>
      <c r="G268" s="433">
        <f t="shared" si="33"/>
        <v>413.83504424778789</v>
      </c>
      <c r="H268" s="434">
        <f t="shared" si="34"/>
        <v>4.9997500124993728E-5</v>
      </c>
      <c r="I268" s="433">
        <f t="shared" si="35"/>
        <v>14.961707380173868</v>
      </c>
      <c r="J268" s="433">
        <f t="shared" si="36"/>
        <v>3.740426845043467</v>
      </c>
      <c r="K268" s="433">
        <f t="shared" si="37"/>
        <v>11.221280535130401</v>
      </c>
      <c r="L268" s="433">
        <f t="shared" si="38"/>
        <v>4</v>
      </c>
      <c r="M268" s="435"/>
      <c r="N268" s="433"/>
      <c r="O268" s="436">
        <f>+VLOOKUP(C268,Pop_ISTAT!$A$10:$J$273,10,FALSE)</f>
        <v>834</v>
      </c>
      <c r="P268" s="435"/>
      <c r="Q268" s="460">
        <f t="shared" si="43"/>
        <v>834</v>
      </c>
      <c r="R268" s="429">
        <v>250</v>
      </c>
      <c r="S268" s="350">
        <f t="shared" si="39"/>
        <v>0</v>
      </c>
      <c r="T268" s="350">
        <f t="shared" si="40"/>
        <v>14.961707380173868</v>
      </c>
    </row>
    <row r="269" spans="1:20" outlineLevel="1">
      <c r="A269" s="429">
        <v>256</v>
      </c>
      <c r="B269" s="429" t="s">
        <v>309</v>
      </c>
      <c r="C269" s="429" t="s">
        <v>565</v>
      </c>
      <c r="D269" s="429">
        <v>53</v>
      </c>
      <c r="E269" s="429">
        <v>1E-3</v>
      </c>
      <c r="F269" s="432"/>
      <c r="G269" s="433">
        <f t="shared" si="33"/>
        <v>413.83504424778789</v>
      </c>
      <c r="H269" s="434">
        <f t="shared" si="34"/>
        <v>4.9997500124993728E-5</v>
      </c>
      <c r="I269" s="433">
        <f t="shared" si="35"/>
        <v>13.216174852486917</v>
      </c>
      <c r="J269" s="433">
        <f t="shared" si="36"/>
        <v>3.3040437131217293</v>
      </c>
      <c r="K269" s="433">
        <f t="shared" si="37"/>
        <v>9.9121311393651883</v>
      </c>
      <c r="L269" s="433">
        <f t="shared" si="38"/>
        <v>4</v>
      </c>
      <c r="M269" s="435"/>
      <c r="N269" s="433"/>
      <c r="O269" s="436">
        <f>+VLOOKUP(C269,Pop_ISTAT!$A$10:$J$273,10,FALSE)</f>
        <v>777</v>
      </c>
      <c r="P269" s="435"/>
      <c r="Q269" s="460">
        <f t="shared" si="43"/>
        <v>777</v>
      </c>
      <c r="R269" s="429">
        <v>251</v>
      </c>
      <c r="S269" s="350">
        <f t="shared" si="39"/>
        <v>0</v>
      </c>
      <c r="T269" s="350">
        <f t="shared" si="40"/>
        <v>13.216174852486917</v>
      </c>
    </row>
    <row r="270" spans="1:20" outlineLevel="1">
      <c r="A270" s="429">
        <v>246</v>
      </c>
      <c r="B270" s="429" t="s">
        <v>309</v>
      </c>
      <c r="C270" s="429" t="s">
        <v>555</v>
      </c>
      <c r="D270" s="430">
        <v>1196</v>
      </c>
      <c r="E270" s="429">
        <v>1.4999999999999999E-2</v>
      </c>
      <c r="F270" s="432"/>
      <c r="G270" s="433">
        <f t="shared" si="33"/>
        <v>6207.5256637168177</v>
      </c>
      <c r="H270" s="434">
        <f t="shared" si="34"/>
        <v>7.4996250187490585E-4</v>
      </c>
      <c r="I270" s="433">
        <f t="shared" si="35"/>
        <v>298.23670044479911</v>
      </c>
      <c r="J270" s="433">
        <f t="shared" si="36"/>
        <v>74.559175111199778</v>
      </c>
      <c r="K270" s="433">
        <f t="shared" si="37"/>
        <v>223.67752533359933</v>
      </c>
      <c r="L270" s="433">
        <f t="shared" si="38"/>
        <v>60</v>
      </c>
      <c r="M270" s="435"/>
      <c r="N270" s="433"/>
      <c r="O270" s="436">
        <f>+VLOOKUP(C270,Pop_ISTAT!$A$10:$J$273,10,FALSE)</f>
        <v>668</v>
      </c>
      <c r="P270" s="435"/>
      <c r="Q270" s="460">
        <f t="shared" si="43"/>
        <v>668</v>
      </c>
      <c r="R270" s="429">
        <v>252</v>
      </c>
      <c r="S270" s="350">
        <f t="shared" si="39"/>
        <v>0</v>
      </c>
      <c r="T270" s="350">
        <f t="shared" si="40"/>
        <v>298.23670044479911</v>
      </c>
    </row>
    <row r="271" spans="1:20" outlineLevel="1">
      <c r="A271" s="429">
        <v>251</v>
      </c>
      <c r="B271" s="429" t="s">
        <v>309</v>
      </c>
      <c r="C271" s="429" t="s">
        <v>560</v>
      </c>
      <c r="D271" s="429">
        <v>181</v>
      </c>
      <c r="E271" s="429">
        <v>2E-3</v>
      </c>
      <c r="F271" s="432"/>
      <c r="G271" s="433">
        <f t="shared" si="33"/>
        <v>827.67008849557578</v>
      </c>
      <c r="H271" s="434">
        <f t="shared" si="34"/>
        <v>9.9995000249987457E-5</v>
      </c>
      <c r="I271" s="433">
        <f t="shared" si="35"/>
        <v>45.134483930191166</v>
      </c>
      <c r="J271" s="433">
        <f t="shared" si="36"/>
        <v>11.283620982547792</v>
      </c>
      <c r="K271" s="433">
        <f t="shared" si="37"/>
        <v>33.850862947643378</v>
      </c>
      <c r="L271" s="433">
        <f t="shared" si="38"/>
        <v>8</v>
      </c>
      <c r="M271" s="435"/>
      <c r="N271" s="433"/>
      <c r="O271" s="436">
        <f>+VLOOKUP(C271,Pop_ISTAT!$A$10:$J$273,10,FALSE)</f>
        <v>616</v>
      </c>
      <c r="P271" s="435"/>
      <c r="Q271" s="460">
        <f t="shared" si="43"/>
        <v>616</v>
      </c>
      <c r="R271" s="429">
        <v>253</v>
      </c>
      <c r="S271" s="350">
        <f t="shared" si="39"/>
        <v>0</v>
      </c>
      <c r="T271" s="350">
        <f t="shared" si="40"/>
        <v>45.134483930191166</v>
      </c>
    </row>
    <row r="272" spans="1:20" outlineLevel="1">
      <c r="A272" s="429">
        <v>250</v>
      </c>
      <c r="B272" s="429" t="s">
        <v>309</v>
      </c>
      <c r="C272" s="429" t="s">
        <v>559</v>
      </c>
      <c r="D272" s="429">
        <v>852</v>
      </c>
      <c r="E272" s="429">
        <v>1.0999999999999999E-2</v>
      </c>
      <c r="F272" s="432"/>
      <c r="G272" s="433">
        <f t="shared" si="33"/>
        <v>4552.1854867256661</v>
      </c>
      <c r="H272" s="434">
        <f t="shared" si="34"/>
        <v>5.4997250137493096E-4</v>
      </c>
      <c r="I272" s="433">
        <f t="shared" si="35"/>
        <v>212.45624479846893</v>
      </c>
      <c r="J272" s="433">
        <f t="shared" si="36"/>
        <v>53.114061199617232</v>
      </c>
      <c r="K272" s="433">
        <f t="shared" si="37"/>
        <v>159.3421835988517</v>
      </c>
      <c r="L272" s="433">
        <f t="shared" si="38"/>
        <v>44</v>
      </c>
      <c r="M272" s="435"/>
      <c r="N272" s="433"/>
      <c r="O272" s="436">
        <f>+VLOOKUP(C272,Pop_ISTAT!$A$10:$J$273,10,FALSE)</f>
        <v>603</v>
      </c>
      <c r="P272" s="435"/>
      <c r="Q272" s="460">
        <f t="shared" si="43"/>
        <v>603</v>
      </c>
      <c r="R272" s="429">
        <v>254</v>
      </c>
      <c r="S272" s="350">
        <f t="shared" si="39"/>
        <v>0</v>
      </c>
      <c r="T272" s="350">
        <f t="shared" si="40"/>
        <v>212.45624479846893</v>
      </c>
    </row>
    <row r="273" spans="1:20" outlineLevel="1">
      <c r="A273" s="429">
        <v>143</v>
      </c>
      <c r="B273" s="429" t="s">
        <v>309</v>
      </c>
      <c r="C273" s="429" t="s">
        <v>453</v>
      </c>
      <c r="D273" s="430">
        <v>3790</v>
      </c>
      <c r="E273" s="429">
        <v>4.7E-2</v>
      </c>
      <c r="F273" s="432"/>
      <c r="G273" s="433">
        <f t="shared" si="33"/>
        <v>19450.247079646029</v>
      </c>
      <c r="H273" s="434">
        <f t="shared" si="34"/>
        <v>2.3498825058747052E-3</v>
      </c>
      <c r="I273" s="433">
        <f t="shared" si="35"/>
        <v>945.0811828476493</v>
      </c>
      <c r="J273" s="433">
        <f t="shared" si="36"/>
        <v>236.27029571191233</v>
      </c>
      <c r="K273" s="433">
        <f t="shared" si="37"/>
        <v>708.81088713573695</v>
      </c>
      <c r="L273" s="433">
        <f t="shared" si="38"/>
        <v>188</v>
      </c>
      <c r="M273" s="435"/>
      <c r="N273" s="433"/>
      <c r="O273" s="436">
        <f>+VLOOKUP(C273,Pop_ISTAT!$A$10:$J$273,10,FALSE)</f>
        <v>486</v>
      </c>
      <c r="P273" s="435"/>
      <c r="Q273" s="460">
        <f t="shared" si="43"/>
        <v>486</v>
      </c>
      <c r="R273" s="429">
        <v>255</v>
      </c>
      <c r="S273" s="350">
        <f t="shared" si="39"/>
        <v>0</v>
      </c>
      <c r="T273" s="350">
        <f t="shared" si="40"/>
        <v>945.0811828476493</v>
      </c>
    </row>
    <row r="274" spans="1:20" outlineLevel="1">
      <c r="A274" s="429">
        <v>144</v>
      </c>
      <c r="B274" s="429" t="s">
        <v>309</v>
      </c>
      <c r="C274" s="429" t="s">
        <v>454</v>
      </c>
      <c r="D274" s="430">
        <v>3775</v>
      </c>
      <c r="E274" s="429">
        <v>4.7E-2</v>
      </c>
      <c r="F274" s="432"/>
      <c r="G274" s="433">
        <f t="shared" si="33"/>
        <v>19450.247079646029</v>
      </c>
      <c r="H274" s="434">
        <f t="shared" si="34"/>
        <v>2.3498825058747052E-3</v>
      </c>
      <c r="I274" s="433">
        <f t="shared" si="35"/>
        <v>941.34075600260587</v>
      </c>
      <c r="J274" s="433">
        <f t="shared" si="36"/>
        <v>235.33518900065147</v>
      </c>
      <c r="K274" s="433">
        <f t="shared" si="37"/>
        <v>706.00556700195443</v>
      </c>
      <c r="L274" s="433">
        <f t="shared" si="38"/>
        <v>188</v>
      </c>
      <c r="M274" s="435"/>
      <c r="N274" s="433"/>
      <c r="O274" s="436">
        <f>+VLOOKUP(C274,Pop_ISTAT!$A$10:$J$273,10,FALSE)</f>
        <v>354</v>
      </c>
      <c r="P274" s="435"/>
      <c r="Q274" s="460">
        <f t="shared" si="43"/>
        <v>354</v>
      </c>
      <c r="R274" s="429">
        <v>256</v>
      </c>
      <c r="S274" s="350">
        <f t="shared" si="39"/>
        <v>0</v>
      </c>
      <c r="T274" s="350">
        <f t="shared" si="40"/>
        <v>941.34075600260587</v>
      </c>
    </row>
    <row r="275" spans="1:20" outlineLevel="1">
      <c r="A275" s="429">
        <v>257</v>
      </c>
      <c r="B275" s="429" t="s">
        <v>309</v>
      </c>
      <c r="C275" s="429" t="s">
        <v>566</v>
      </c>
      <c r="D275" s="429">
        <v>28</v>
      </c>
      <c r="E275" s="429">
        <v>1E-3</v>
      </c>
      <c r="F275" s="432"/>
      <c r="G275" s="433">
        <f t="shared" si="33"/>
        <v>413.83504424778789</v>
      </c>
      <c r="H275" s="434">
        <f>+G275/$G$14</f>
        <v>4.9997500124993728E-5</v>
      </c>
      <c r="I275" s="433">
        <f t="shared" si="35"/>
        <v>6.9821301107478053</v>
      </c>
      <c r="J275" s="433">
        <f>+I275*25%</f>
        <v>1.7455325276869513</v>
      </c>
      <c r="K275" s="433">
        <f>+I275-J275</f>
        <v>5.2365975830608544</v>
      </c>
      <c r="L275" s="433">
        <f t="shared" si="38"/>
        <v>4</v>
      </c>
      <c r="M275" s="435"/>
      <c r="N275" s="433"/>
      <c r="O275" s="436">
        <f>+VLOOKUP(C275,Pop_ISTAT!$A$10:$J$273,10,FALSE)</f>
        <v>143</v>
      </c>
      <c r="P275" s="435"/>
      <c r="Q275" s="460">
        <f t="shared" si="43"/>
        <v>143</v>
      </c>
      <c r="R275" s="429">
        <v>257</v>
      </c>
      <c r="S275" s="350">
        <f t="shared" si="39"/>
        <v>0</v>
      </c>
      <c r="T275" s="350">
        <f t="shared" si="40"/>
        <v>6.9821301107478053</v>
      </c>
    </row>
    <row r="278" spans="1:20">
      <c r="A278" s="466">
        <f>+A14</f>
        <v>257</v>
      </c>
      <c r="B278" s="467"/>
      <c r="C278" s="466" t="str">
        <f t="shared" ref="C278:Q278" si="44">+C14</f>
        <v>Totali</v>
      </c>
      <c r="D278" s="468">
        <f t="shared" si="44"/>
        <v>1604095</v>
      </c>
      <c r="E278" s="469">
        <f t="shared" si="44"/>
        <v>20.000999999999991</v>
      </c>
      <c r="F278" s="468"/>
      <c r="G278" s="470">
        <f t="shared" si="44"/>
        <v>8277114.7200000091</v>
      </c>
      <c r="H278" s="471">
        <f t="shared" si="44"/>
        <v>0.99999999999999978</v>
      </c>
      <c r="I278" s="472">
        <f t="shared" si="44"/>
        <v>399999.99999999977</v>
      </c>
      <c r="J278" s="472">
        <f t="shared" si="44"/>
        <v>99999.999999999942</v>
      </c>
      <c r="K278" s="472">
        <f t="shared" si="44"/>
        <v>300000.00000000012</v>
      </c>
      <c r="L278" s="468">
        <f t="shared" si="44"/>
        <v>80004</v>
      </c>
      <c r="M278" s="468"/>
      <c r="N278" s="472">
        <f t="shared" si="44"/>
        <v>50000</v>
      </c>
      <c r="O278" s="473">
        <f t="shared" si="44"/>
        <v>3874166</v>
      </c>
      <c r="P278" s="473">
        <f t="shared" si="44"/>
        <v>1899544</v>
      </c>
      <c r="Q278" s="473">
        <f t="shared" si="44"/>
        <v>1974622</v>
      </c>
    </row>
  </sheetData>
  <mergeCells count="1">
    <mergeCell ref="A17:E17"/>
  </mergeCells>
  <phoneticPr fontId="18" type="noConversion"/>
  <pageMargins left="0.25" right="0.25" top="0.75" bottom="0.75" header="0.3" footer="0.3"/>
  <pageSetup paperSize="9" scale="48" orientation="landscape" horizontalDpi="0" verticalDpi="0" copies="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4906B-4B13-6441-BBD3-A73B532A3BF0}">
  <dimension ref="A1:K273"/>
  <sheetViews>
    <sheetView topLeftCell="A67" workbookViewId="0">
      <selection activeCell="A116" sqref="A116"/>
    </sheetView>
  </sheetViews>
  <sheetFormatPr defaultColWidth="25" defaultRowHeight="12.75"/>
  <sheetData>
    <row r="1" spans="1:11" ht="15">
      <c r="A1" s="391" t="s">
        <v>624</v>
      </c>
    </row>
    <row r="2" spans="1:11">
      <c r="A2" s="392" t="s">
        <v>625</v>
      </c>
    </row>
    <row r="3" spans="1:11">
      <c r="A3" s="392" t="s">
        <v>626</v>
      </c>
    </row>
    <row r="4" spans="1:11">
      <c r="A4" s="392" t="s">
        <v>627</v>
      </c>
    </row>
    <row r="5" spans="1:11">
      <c r="A5" s="392" t="s">
        <v>628</v>
      </c>
    </row>
    <row r="7" spans="1:11">
      <c r="A7" s="393" t="s">
        <v>629</v>
      </c>
      <c r="B7" s="527" t="s">
        <v>630</v>
      </c>
      <c r="C7" s="527" t="s">
        <v>630</v>
      </c>
      <c r="D7" s="527" t="s">
        <v>630</v>
      </c>
      <c r="E7" s="527" t="s">
        <v>631</v>
      </c>
      <c r="F7" s="527" t="s">
        <v>631</v>
      </c>
      <c r="G7" s="527" t="s">
        <v>631</v>
      </c>
      <c r="H7" s="527" t="s">
        <v>632</v>
      </c>
      <c r="I7" s="527" t="s">
        <v>632</v>
      </c>
      <c r="J7" s="527" t="s">
        <v>632</v>
      </c>
    </row>
    <row r="8" spans="1:11">
      <c r="A8" s="393" t="s">
        <v>633</v>
      </c>
      <c r="B8" s="394" t="s">
        <v>634</v>
      </c>
      <c r="C8" s="394" t="s">
        <v>635</v>
      </c>
      <c r="D8" s="394" t="s">
        <v>636</v>
      </c>
      <c r="E8" s="394" t="s">
        <v>634</v>
      </c>
      <c r="F8" s="394" t="s">
        <v>635</v>
      </c>
      <c r="G8" s="394" t="s">
        <v>636</v>
      </c>
      <c r="H8" s="394" t="s">
        <v>634</v>
      </c>
      <c r="I8" s="394" t="s">
        <v>635</v>
      </c>
      <c r="J8" s="394" t="s">
        <v>636</v>
      </c>
    </row>
    <row r="9" spans="1:11">
      <c r="A9" s="393" t="s">
        <v>637</v>
      </c>
      <c r="B9" s="528" t="s">
        <v>638</v>
      </c>
      <c r="C9" s="528" t="s">
        <v>638</v>
      </c>
      <c r="D9" s="528" t="s">
        <v>638</v>
      </c>
      <c r="E9" s="528" t="s">
        <v>638</v>
      </c>
      <c r="F9" s="528" t="s">
        <v>638</v>
      </c>
      <c r="G9" s="528" t="s">
        <v>638</v>
      </c>
      <c r="H9" s="528" t="s">
        <v>638</v>
      </c>
      <c r="I9" s="528" t="s">
        <v>638</v>
      </c>
      <c r="J9" s="528" t="s">
        <v>638</v>
      </c>
    </row>
    <row r="10" spans="1:11">
      <c r="A10" s="396" t="s">
        <v>641</v>
      </c>
      <c r="B10" s="395">
        <v>1904137</v>
      </c>
      <c r="C10" s="395">
        <v>2003546</v>
      </c>
      <c r="D10" s="395">
        <v>3907683</v>
      </c>
      <c r="E10" s="395">
        <v>1897886</v>
      </c>
      <c r="F10" s="395">
        <v>1992775</v>
      </c>
      <c r="G10" s="395">
        <v>3890661</v>
      </c>
      <c r="H10" s="395">
        <v>1892105</v>
      </c>
      <c r="I10" s="395">
        <v>1982061</v>
      </c>
      <c r="J10" s="395">
        <v>3874166</v>
      </c>
      <c r="K10" t="str">
        <f>TRIM(A10)</f>
        <v>Puglia</v>
      </c>
    </row>
    <row r="11" spans="1:11">
      <c r="A11" s="396" t="s">
        <v>900</v>
      </c>
      <c r="B11" s="395">
        <v>293907</v>
      </c>
      <c r="C11" s="395">
        <v>301775</v>
      </c>
      <c r="D11" s="395">
        <v>595682</v>
      </c>
      <c r="E11" s="395">
        <v>293270</v>
      </c>
      <c r="F11" s="395">
        <v>299808</v>
      </c>
      <c r="G11" s="395">
        <v>593078</v>
      </c>
      <c r="H11" s="395">
        <v>292725</v>
      </c>
      <c r="I11" s="395">
        <v>297579</v>
      </c>
      <c r="J11" s="395">
        <v>590304</v>
      </c>
      <c r="K11" t="str">
        <f t="shared" ref="K11:K74" si="0">TRIM(A11)</f>
        <v>Provincia Foggia</v>
      </c>
    </row>
    <row r="12" spans="1:11">
      <c r="A12" s="394" t="s">
        <v>643</v>
      </c>
      <c r="B12" s="395">
        <v>1089</v>
      </c>
      <c r="C12" s="395">
        <v>1133</v>
      </c>
      <c r="D12" s="395">
        <v>2222</v>
      </c>
      <c r="E12" s="395">
        <v>1091</v>
      </c>
      <c r="F12" s="395">
        <v>1113</v>
      </c>
      <c r="G12" s="395">
        <v>2204</v>
      </c>
      <c r="H12" s="395">
        <v>1115</v>
      </c>
      <c r="I12" s="395">
        <v>1103</v>
      </c>
      <c r="J12" s="395">
        <v>2218</v>
      </c>
      <c r="K12" t="str">
        <f t="shared" si="0"/>
        <v>Accadia</v>
      </c>
    </row>
    <row r="13" spans="1:11">
      <c r="A13" s="394" t="s">
        <v>644</v>
      </c>
      <c r="B13" s="395">
        <v>416</v>
      </c>
      <c r="C13" s="395">
        <v>429</v>
      </c>
      <c r="D13" s="395">
        <v>845</v>
      </c>
      <c r="E13" s="395">
        <v>428</v>
      </c>
      <c r="F13" s="395">
        <v>429</v>
      </c>
      <c r="G13" s="395">
        <v>857</v>
      </c>
      <c r="H13" s="395">
        <v>411</v>
      </c>
      <c r="I13" s="395">
        <v>423</v>
      </c>
      <c r="J13" s="395">
        <v>834</v>
      </c>
      <c r="K13" t="str">
        <f t="shared" si="0"/>
        <v>Alberona</v>
      </c>
    </row>
    <row r="14" spans="1:11">
      <c r="A14" s="394" t="s">
        <v>645</v>
      </c>
      <c r="B14" s="395">
        <v>531</v>
      </c>
      <c r="C14" s="395">
        <v>557</v>
      </c>
      <c r="D14" s="395">
        <v>1088</v>
      </c>
      <c r="E14" s="395">
        <v>527</v>
      </c>
      <c r="F14" s="395">
        <v>542</v>
      </c>
      <c r="G14" s="395">
        <v>1069</v>
      </c>
      <c r="H14" s="395">
        <v>521</v>
      </c>
      <c r="I14" s="395">
        <v>549</v>
      </c>
      <c r="J14" s="395">
        <v>1070</v>
      </c>
      <c r="K14" t="str">
        <f t="shared" si="0"/>
        <v>Anzano di Puglia</v>
      </c>
    </row>
    <row r="15" spans="1:11">
      <c r="A15" s="394" t="s">
        <v>646</v>
      </c>
      <c r="B15" s="395">
        <v>6239</v>
      </c>
      <c r="C15" s="395">
        <v>6329</v>
      </c>
      <c r="D15" s="395">
        <v>12568</v>
      </c>
      <c r="E15" s="395">
        <v>6224</v>
      </c>
      <c r="F15" s="395">
        <v>6289</v>
      </c>
      <c r="G15" s="395">
        <v>12513</v>
      </c>
      <c r="H15" s="395">
        <v>6238</v>
      </c>
      <c r="I15" s="395">
        <v>6232</v>
      </c>
      <c r="J15" s="395">
        <v>12470</v>
      </c>
      <c r="K15" t="str">
        <f t="shared" si="0"/>
        <v>Apricena</v>
      </c>
    </row>
    <row r="16" spans="1:11">
      <c r="A16" s="394" t="s">
        <v>647</v>
      </c>
      <c r="B16" s="395">
        <v>2999</v>
      </c>
      <c r="C16" s="395">
        <v>2871</v>
      </c>
      <c r="D16" s="395">
        <v>5870</v>
      </c>
      <c r="E16" s="395">
        <v>2953</v>
      </c>
      <c r="F16" s="395">
        <v>2821</v>
      </c>
      <c r="G16" s="395">
        <v>5774</v>
      </c>
      <c r="H16" s="395">
        <v>2908</v>
      </c>
      <c r="I16" s="395">
        <v>2772</v>
      </c>
      <c r="J16" s="395">
        <v>5680</v>
      </c>
      <c r="K16" t="str">
        <f t="shared" si="0"/>
        <v>Ascoli Satriano</v>
      </c>
    </row>
    <row r="17" spans="1:11">
      <c r="A17" s="394" t="s">
        <v>648</v>
      </c>
      <c r="B17" s="395">
        <v>1304</v>
      </c>
      <c r="C17" s="395">
        <v>1326</v>
      </c>
      <c r="D17" s="395">
        <v>2630</v>
      </c>
      <c r="E17" s="395">
        <v>1300</v>
      </c>
      <c r="F17" s="395">
        <v>1328</v>
      </c>
      <c r="G17" s="395">
        <v>2628</v>
      </c>
      <c r="H17" s="395">
        <v>1290</v>
      </c>
      <c r="I17" s="395">
        <v>1304</v>
      </c>
      <c r="J17" s="395">
        <v>2594</v>
      </c>
      <c r="K17" t="str">
        <f t="shared" si="0"/>
        <v>Biccari</v>
      </c>
    </row>
    <row r="18" spans="1:11">
      <c r="A18" s="394" t="s">
        <v>649</v>
      </c>
      <c r="B18" s="395">
        <v>1460</v>
      </c>
      <c r="C18" s="395">
        <v>1511</v>
      </c>
      <c r="D18" s="395">
        <v>2971</v>
      </c>
      <c r="E18" s="395">
        <v>1432</v>
      </c>
      <c r="F18" s="395">
        <v>1471</v>
      </c>
      <c r="G18" s="395">
        <v>2903</v>
      </c>
      <c r="H18" s="395">
        <v>1442</v>
      </c>
      <c r="I18" s="395">
        <v>1451</v>
      </c>
      <c r="J18" s="395">
        <v>2893</v>
      </c>
      <c r="K18" t="str">
        <f t="shared" si="0"/>
        <v>Bovino</v>
      </c>
    </row>
    <row r="19" spans="1:11">
      <c r="A19" s="394" t="s">
        <v>650</v>
      </c>
      <c r="B19" s="395">
        <v>3255</v>
      </c>
      <c r="C19" s="395">
        <v>3357</v>
      </c>
      <c r="D19" s="395">
        <v>6612</v>
      </c>
      <c r="E19" s="395">
        <v>3235</v>
      </c>
      <c r="F19" s="395">
        <v>3352</v>
      </c>
      <c r="G19" s="395">
        <v>6587</v>
      </c>
      <c r="H19" s="395">
        <v>3207</v>
      </c>
      <c r="I19" s="395">
        <v>3342</v>
      </c>
      <c r="J19" s="395">
        <v>6549</v>
      </c>
      <c r="K19" t="str">
        <f t="shared" si="0"/>
        <v>Cagnano Varano</v>
      </c>
    </row>
    <row r="20" spans="1:11">
      <c r="A20" s="394" t="s">
        <v>651</v>
      </c>
      <c r="B20" s="395">
        <v>1271</v>
      </c>
      <c r="C20" s="395">
        <v>1248</v>
      </c>
      <c r="D20" s="395">
        <v>2519</v>
      </c>
      <c r="E20" s="395">
        <v>1264</v>
      </c>
      <c r="F20" s="395">
        <v>1233</v>
      </c>
      <c r="G20" s="395">
        <v>2497</v>
      </c>
      <c r="H20" s="395">
        <v>1306</v>
      </c>
      <c r="I20" s="395">
        <v>1257</v>
      </c>
      <c r="J20" s="395">
        <v>2563</v>
      </c>
      <c r="K20" t="str">
        <f t="shared" si="0"/>
        <v>Candela</v>
      </c>
    </row>
    <row r="21" spans="1:11">
      <c r="A21" s="394" t="s">
        <v>652</v>
      </c>
      <c r="B21" s="395">
        <v>3522</v>
      </c>
      <c r="C21" s="395">
        <v>3513</v>
      </c>
      <c r="D21" s="395">
        <v>7035</v>
      </c>
      <c r="E21" s="395">
        <v>3470</v>
      </c>
      <c r="F21" s="395">
        <v>3478</v>
      </c>
      <c r="G21" s="395">
        <v>6948</v>
      </c>
      <c r="H21" s="395">
        <v>3429</v>
      </c>
      <c r="I21" s="395">
        <v>3455</v>
      </c>
      <c r="J21" s="395">
        <v>6884</v>
      </c>
      <c r="K21" t="str">
        <f t="shared" si="0"/>
        <v>Carapelle</v>
      </c>
    </row>
    <row r="22" spans="1:11">
      <c r="A22" s="394" t="s">
        <v>653</v>
      </c>
      <c r="B22" s="395">
        <v>390</v>
      </c>
      <c r="C22" s="395">
        <v>416</v>
      </c>
      <c r="D22" s="395">
        <v>806</v>
      </c>
      <c r="E22" s="395">
        <v>381</v>
      </c>
      <c r="F22" s="395">
        <v>410</v>
      </c>
      <c r="G22" s="395">
        <v>791</v>
      </c>
      <c r="H22" s="395">
        <v>370</v>
      </c>
      <c r="I22" s="395">
        <v>407</v>
      </c>
      <c r="J22" s="395">
        <v>777</v>
      </c>
      <c r="K22" t="str">
        <f t="shared" si="0"/>
        <v>Carlantino</v>
      </c>
    </row>
    <row r="23" spans="1:11">
      <c r="A23" s="394" t="s">
        <v>654</v>
      </c>
      <c r="B23" s="395">
        <v>1897</v>
      </c>
      <c r="C23" s="395">
        <v>1908</v>
      </c>
      <c r="D23" s="395">
        <v>3805</v>
      </c>
      <c r="E23" s="395">
        <v>1881</v>
      </c>
      <c r="F23" s="395">
        <v>1891</v>
      </c>
      <c r="G23" s="395">
        <v>3772</v>
      </c>
      <c r="H23" s="395">
        <v>1886</v>
      </c>
      <c r="I23" s="395">
        <v>1857</v>
      </c>
      <c r="J23" s="395">
        <v>3743</v>
      </c>
      <c r="K23" t="str">
        <f t="shared" si="0"/>
        <v>Carpino</v>
      </c>
    </row>
    <row r="24" spans="1:11">
      <c r="A24" s="394" t="s">
        <v>655</v>
      </c>
      <c r="B24" s="395">
        <v>674</v>
      </c>
      <c r="C24" s="395">
        <v>688</v>
      </c>
      <c r="D24" s="395">
        <v>1362</v>
      </c>
      <c r="E24" s="395">
        <v>673</v>
      </c>
      <c r="F24" s="395">
        <v>693</v>
      </c>
      <c r="G24" s="395">
        <v>1366</v>
      </c>
      <c r="H24" s="395">
        <v>670</v>
      </c>
      <c r="I24" s="395">
        <v>688</v>
      </c>
      <c r="J24" s="395">
        <v>1358</v>
      </c>
      <c r="K24" t="str">
        <f t="shared" si="0"/>
        <v>Casalnuovo Monterotaro</v>
      </c>
    </row>
    <row r="25" spans="1:11">
      <c r="A25" s="394" t="s">
        <v>656</v>
      </c>
      <c r="B25" s="395">
        <v>841</v>
      </c>
      <c r="C25" s="395">
        <v>849</v>
      </c>
      <c r="D25" s="395">
        <v>1690</v>
      </c>
      <c r="E25" s="395">
        <v>825</v>
      </c>
      <c r="F25" s="395">
        <v>834</v>
      </c>
      <c r="G25" s="395">
        <v>1659</v>
      </c>
      <c r="H25" s="395">
        <v>803</v>
      </c>
      <c r="I25" s="395">
        <v>815</v>
      </c>
      <c r="J25" s="395">
        <v>1618</v>
      </c>
      <c r="K25" t="str">
        <f t="shared" si="0"/>
        <v>Casalvecchio di Puglia</v>
      </c>
    </row>
    <row r="26" spans="1:11">
      <c r="A26" s="394" t="s">
        <v>657</v>
      </c>
      <c r="B26" s="395">
        <v>1026</v>
      </c>
      <c r="C26" s="395">
        <v>992</v>
      </c>
      <c r="D26" s="395">
        <v>2018</v>
      </c>
      <c r="E26" s="395">
        <v>1030</v>
      </c>
      <c r="F26" s="395">
        <v>981</v>
      </c>
      <c r="G26" s="395">
        <v>2011</v>
      </c>
      <c r="H26" s="395">
        <v>1033</v>
      </c>
      <c r="I26" s="395">
        <v>965</v>
      </c>
      <c r="J26" s="395">
        <v>1998</v>
      </c>
      <c r="K26" t="str">
        <f t="shared" si="0"/>
        <v>Castelluccio dei Sauri</v>
      </c>
    </row>
    <row r="27" spans="1:11">
      <c r="A27" s="394" t="s">
        <v>658</v>
      </c>
      <c r="B27" s="395">
        <v>584</v>
      </c>
      <c r="C27" s="395">
        <v>618</v>
      </c>
      <c r="D27" s="395">
        <v>1202</v>
      </c>
      <c r="E27" s="395">
        <v>572</v>
      </c>
      <c r="F27" s="395">
        <v>610</v>
      </c>
      <c r="G27" s="395">
        <v>1182</v>
      </c>
      <c r="H27" s="395">
        <v>578</v>
      </c>
      <c r="I27" s="395">
        <v>602</v>
      </c>
      <c r="J27" s="395">
        <v>1180</v>
      </c>
      <c r="K27" t="str">
        <f t="shared" si="0"/>
        <v>Castelluccio Valmaggiore</v>
      </c>
    </row>
    <row r="28" spans="1:11">
      <c r="A28" s="394" t="s">
        <v>659</v>
      </c>
      <c r="B28" s="395">
        <v>632</v>
      </c>
      <c r="C28" s="395">
        <v>636</v>
      </c>
      <c r="D28" s="395">
        <v>1268</v>
      </c>
      <c r="E28" s="395">
        <v>645</v>
      </c>
      <c r="F28" s="395">
        <v>641</v>
      </c>
      <c r="G28" s="395">
        <v>1286</v>
      </c>
      <c r="H28" s="395">
        <v>636</v>
      </c>
      <c r="I28" s="395">
        <v>621</v>
      </c>
      <c r="J28" s="395">
        <v>1257</v>
      </c>
      <c r="K28" t="str">
        <f t="shared" si="0"/>
        <v>Castelnuovo della Daunia</v>
      </c>
    </row>
    <row r="29" spans="1:11">
      <c r="A29" s="394" t="s">
        <v>660</v>
      </c>
      <c r="B29" s="395">
        <v>654</v>
      </c>
      <c r="C29" s="395">
        <v>713</v>
      </c>
      <c r="D29" s="395">
        <v>1367</v>
      </c>
      <c r="E29" s="395">
        <v>641</v>
      </c>
      <c r="F29" s="395">
        <v>706</v>
      </c>
      <c r="G29" s="395">
        <v>1347</v>
      </c>
      <c r="H29" s="395">
        <v>616</v>
      </c>
      <c r="I29" s="395">
        <v>682</v>
      </c>
      <c r="J29" s="395">
        <v>1298</v>
      </c>
      <c r="K29" t="str">
        <f t="shared" si="0"/>
        <v>Celenza Valfortore</v>
      </c>
    </row>
    <row r="30" spans="1:11">
      <c r="A30" s="394" t="s">
        <v>661</v>
      </c>
      <c r="B30" s="395">
        <v>75</v>
      </c>
      <c r="C30" s="395">
        <v>73</v>
      </c>
      <c r="D30" s="395">
        <v>148</v>
      </c>
      <c r="E30" s="395">
        <v>76</v>
      </c>
      <c r="F30" s="395">
        <v>72</v>
      </c>
      <c r="G30" s="395">
        <v>148</v>
      </c>
      <c r="H30" s="395">
        <v>72</v>
      </c>
      <c r="I30" s="395">
        <v>71</v>
      </c>
      <c r="J30" s="395">
        <v>143</v>
      </c>
      <c r="K30" t="str">
        <f t="shared" si="0"/>
        <v>Celle di San Vito</v>
      </c>
    </row>
    <row r="31" spans="1:11">
      <c r="A31" s="394" t="s">
        <v>662</v>
      </c>
      <c r="B31" s="395">
        <v>28408</v>
      </c>
      <c r="C31" s="395">
        <v>28744</v>
      </c>
      <c r="D31" s="395">
        <v>57152</v>
      </c>
      <c r="E31" s="395">
        <v>28383</v>
      </c>
      <c r="F31" s="395">
        <v>28683</v>
      </c>
      <c r="G31" s="395">
        <v>57066</v>
      </c>
      <c r="H31" s="395">
        <v>28334</v>
      </c>
      <c r="I31" s="395">
        <v>28607</v>
      </c>
      <c r="J31" s="395">
        <v>56941</v>
      </c>
      <c r="K31" t="str">
        <f t="shared" si="0"/>
        <v>Cerignola</v>
      </c>
    </row>
    <row r="32" spans="1:11">
      <c r="A32" s="394" t="s">
        <v>663</v>
      </c>
      <c r="B32" s="395">
        <v>755</v>
      </c>
      <c r="C32" s="395">
        <v>767</v>
      </c>
      <c r="D32" s="395">
        <v>1522</v>
      </c>
      <c r="E32" s="395">
        <v>739</v>
      </c>
      <c r="F32" s="395">
        <v>751</v>
      </c>
      <c r="G32" s="395">
        <v>1490</v>
      </c>
      <c r="H32" s="395">
        <v>717</v>
      </c>
      <c r="I32" s="395">
        <v>750</v>
      </c>
      <c r="J32" s="395">
        <v>1467</v>
      </c>
      <c r="K32" t="str">
        <f t="shared" si="0"/>
        <v>Chieuti</v>
      </c>
    </row>
    <row r="33" spans="1:11">
      <c r="A33" s="394" t="s">
        <v>664</v>
      </c>
      <c r="B33" s="395">
        <v>1743</v>
      </c>
      <c r="C33" s="395">
        <v>1760</v>
      </c>
      <c r="D33" s="395">
        <v>3503</v>
      </c>
      <c r="E33" s="395">
        <v>1753</v>
      </c>
      <c r="F33" s="395">
        <v>1741</v>
      </c>
      <c r="G33" s="395">
        <v>3494</v>
      </c>
      <c r="H33" s="395">
        <v>1738</v>
      </c>
      <c r="I33" s="395">
        <v>1738</v>
      </c>
      <c r="J33" s="395">
        <v>3476</v>
      </c>
      <c r="K33" t="str">
        <f t="shared" si="0"/>
        <v>Deliceto</v>
      </c>
    </row>
    <row r="34" spans="1:11">
      <c r="A34" s="394" t="s">
        <v>665</v>
      </c>
      <c r="B34" s="395">
        <v>308</v>
      </c>
      <c r="C34" s="395">
        <v>307</v>
      </c>
      <c r="D34" s="395">
        <v>615</v>
      </c>
      <c r="E34" s="395">
        <v>310</v>
      </c>
      <c r="F34" s="395">
        <v>303</v>
      </c>
      <c r="G34" s="395">
        <v>613</v>
      </c>
      <c r="H34" s="395">
        <v>311</v>
      </c>
      <c r="I34" s="395">
        <v>305</v>
      </c>
      <c r="J34" s="395">
        <v>616</v>
      </c>
      <c r="K34" t="str">
        <f t="shared" si="0"/>
        <v>Faeto</v>
      </c>
    </row>
    <row r="35" spans="1:11">
      <c r="A35" s="394" t="s">
        <v>642</v>
      </c>
      <c r="B35" s="395">
        <v>71748</v>
      </c>
      <c r="C35" s="395">
        <v>74269</v>
      </c>
      <c r="D35" s="395">
        <v>146017</v>
      </c>
      <c r="E35" s="395">
        <v>71824</v>
      </c>
      <c r="F35" s="395">
        <v>73828</v>
      </c>
      <c r="G35" s="395">
        <v>145652</v>
      </c>
      <c r="H35" s="395">
        <v>72222</v>
      </c>
      <c r="I35" s="395">
        <v>73225</v>
      </c>
      <c r="J35" s="395">
        <v>145447</v>
      </c>
      <c r="K35" t="str">
        <f t="shared" si="0"/>
        <v>Foggia</v>
      </c>
    </row>
    <row r="36" spans="1:11">
      <c r="A36" s="394" t="s">
        <v>666</v>
      </c>
      <c r="B36" s="395">
        <v>2070</v>
      </c>
      <c r="C36" s="395">
        <v>2074</v>
      </c>
      <c r="D36" s="395">
        <v>4144</v>
      </c>
      <c r="E36" s="395">
        <v>2054</v>
      </c>
      <c r="F36" s="395">
        <v>2056</v>
      </c>
      <c r="G36" s="395">
        <v>4110</v>
      </c>
      <c r="H36" s="395">
        <v>2034</v>
      </c>
      <c r="I36" s="395">
        <v>2041</v>
      </c>
      <c r="J36" s="395">
        <v>4075</v>
      </c>
      <c r="K36" t="str">
        <f t="shared" si="0"/>
        <v>Ischitella</v>
      </c>
    </row>
    <row r="37" spans="1:11">
      <c r="A37" s="394" t="s">
        <v>667</v>
      </c>
      <c r="B37" s="395">
        <v>272</v>
      </c>
      <c r="C37" s="395">
        <v>209</v>
      </c>
      <c r="D37" s="395">
        <v>481</v>
      </c>
      <c r="E37" s="395">
        <v>278</v>
      </c>
      <c r="F37" s="395">
        <v>216</v>
      </c>
      <c r="G37" s="395">
        <v>494</v>
      </c>
      <c r="H37" s="395">
        <v>277</v>
      </c>
      <c r="I37" s="395">
        <v>209</v>
      </c>
      <c r="J37" s="395">
        <v>486</v>
      </c>
      <c r="K37" t="str">
        <f t="shared" si="0"/>
        <v>Isole Tremiti</v>
      </c>
    </row>
    <row r="38" spans="1:11">
      <c r="A38" s="394" t="s">
        <v>668</v>
      </c>
      <c r="B38" s="395">
        <v>3127</v>
      </c>
      <c r="C38" s="395">
        <v>3101</v>
      </c>
      <c r="D38" s="395">
        <v>6228</v>
      </c>
      <c r="E38" s="395">
        <v>3149</v>
      </c>
      <c r="F38" s="395">
        <v>3097</v>
      </c>
      <c r="G38" s="395">
        <v>6246</v>
      </c>
      <c r="H38" s="395">
        <v>3159</v>
      </c>
      <c r="I38" s="395">
        <v>3074</v>
      </c>
      <c r="J38" s="395">
        <v>6233</v>
      </c>
      <c r="K38" t="str">
        <f t="shared" si="0"/>
        <v>Lesina</v>
      </c>
    </row>
    <row r="39" spans="1:11">
      <c r="A39" s="394" t="s">
        <v>669</v>
      </c>
      <c r="B39" s="395">
        <v>15143</v>
      </c>
      <c r="C39" s="395">
        <v>15890</v>
      </c>
      <c r="D39" s="395">
        <v>31033</v>
      </c>
      <c r="E39" s="395">
        <v>15000</v>
      </c>
      <c r="F39" s="395">
        <v>15723</v>
      </c>
      <c r="G39" s="395">
        <v>30723</v>
      </c>
      <c r="H39" s="395">
        <v>14925</v>
      </c>
      <c r="I39" s="395">
        <v>15606</v>
      </c>
      <c r="J39" s="395">
        <v>30531</v>
      </c>
      <c r="K39" t="str">
        <f t="shared" si="0"/>
        <v>Lucera</v>
      </c>
    </row>
    <row r="40" spans="1:11">
      <c r="A40" s="394" t="s">
        <v>670</v>
      </c>
      <c r="B40" s="395">
        <v>26827</v>
      </c>
      <c r="C40" s="395">
        <v>27148</v>
      </c>
      <c r="D40" s="395">
        <v>53975</v>
      </c>
      <c r="E40" s="395">
        <v>26698</v>
      </c>
      <c r="F40" s="395">
        <v>27024</v>
      </c>
      <c r="G40" s="395">
        <v>53722</v>
      </c>
      <c r="H40" s="395">
        <v>26507</v>
      </c>
      <c r="I40" s="395">
        <v>26781</v>
      </c>
      <c r="J40" s="395">
        <v>53288</v>
      </c>
      <c r="K40" t="str">
        <f t="shared" si="0"/>
        <v>Manfredonia</v>
      </c>
    </row>
    <row r="41" spans="1:11">
      <c r="A41" s="394" t="s">
        <v>671</v>
      </c>
      <c r="B41" s="395">
        <v>2935</v>
      </c>
      <c r="C41" s="395">
        <v>3047</v>
      </c>
      <c r="D41" s="395">
        <v>5982</v>
      </c>
      <c r="E41" s="395">
        <v>2901</v>
      </c>
      <c r="F41" s="395">
        <v>3017</v>
      </c>
      <c r="G41" s="395">
        <v>5918</v>
      </c>
      <c r="H41" s="395">
        <v>2874</v>
      </c>
      <c r="I41" s="395">
        <v>3001</v>
      </c>
      <c r="J41" s="395">
        <v>5875</v>
      </c>
      <c r="K41" t="str">
        <f t="shared" si="0"/>
        <v>Mattinata</v>
      </c>
    </row>
    <row r="42" spans="1:11">
      <c r="A42" s="394" t="s">
        <v>672</v>
      </c>
      <c r="B42" s="395">
        <v>5562</v>
      </c>
      <c r="C42" s="395">
        <v>5792</v>
      </c>
      <c r="D42" s="395">
        <v>11354</v>
      </c>
      <c r="E42" s="395">
        <v>5497</v>
      </c>
      <c r="F42" s="395">
        <v>5742</v>
      </c>
      <c r="G42" s="395">
        <v>11239</v>
      </c>
      <c r="H42" s="395">
        <v>5391</v>
      </c>
      <c r="I42" s="395">
        <v>5609</v>
      </c>
      <c r="J42" s="395">
        <v>11000</v>
      </c>
      <c r="K42" t="str">
        <f t="shared" si="0"/>
        <v>Monte Sant'Angelo</v>
      </c>
    </row>
    <row r="43" spans="1:11">
      <c r="A43" s="394" t="s">
        <v>673</v>
      </c>
      <c r="B43" s="395">
        <v>488</v>
      </c>
      <c r="C43" s="395">
        <v>456</v>
      </c>
      <c r="D43" s="395">
        <v>944</v>
      </c>
      <c r="E43" s="395">
        <v>491</v>
      </c>
      <c r="F43" s="395">
        <v>451</v>
      </c>
      <c r="G43" s="395">
        <v>942</v>
      </c>
      <c r="H43" s="395">
        <v>491</v>
      </c>
      <c r="I43" s="395">
        <v>434</v>
      </c>
      <c r="J43" s="395">
        <v>925</v>
      </c>
      <c r="K43" t="str">
        <f t="shared" si="0"/>
        <v>Monteleone di Puglia</v>
      </c>
    </row>
    <row r="44" spans="1:11">
      <c r="A44" s="394" t="s">
        <v>674</v>
      </c>
      <c r="B44" s="395">
        <v>305</v>
      </c>
      <c r="C44" s="395">
        <v>345</v>
      </c>
      <c r="D44" s="395">
        <v>650</v>
      </c>
      <c r="E44" s="395">
        <v>298</v>
      </c>
      <c r="F44" s="395">
        <v>332</v>
      </c>
      <c r="G44" s="395">
        <v>630</v>
      </c>
      <c r="H44" s="395">
        <v>288</v>
      </c>
      <c r="I44" s="395">
        <v>315</v>
      </c>
      <c r="J44" s="395">
        <v>603</v>
      </c>
      <c r="K44" t="str">
        <f t="shared" si="0"/>
        <v>Motta Montecorvino</v>
      </c>
    </row>
    <row r="45" spans="1:11">
      <c r="A45" s="394" t="s">
        <v>675</v>
      </c>
      <c r="B45" s="395">
        <v>1453</v>
      </c>
      <c r="C45" s="395">
        <v>1384</v>
      </c>
      <c r="D45" s="395">
        <v>2837</v>
      </c>
      <c r="E45" s="395">
        <v>1570</v>
      </c>
      <c r="F45" s="395">
        <v>1493</v>
      </c>
      <c r="G45" s="395">
        <v>3063</v>
      </c>
      <c r="H45" s="395">
        <v>1708</v>
      </c>
      <c r="I45" s="395">
        <v>1653</v>
      </c>
      <c r="J45" s="395">
        <v>3361</v>
      </c>
      <c r="K45" t="str">
        <f t="shared" si="0"/>
        <v>Ordona</v>
      </c>
    </row>
    <row r="46" spans="1:11">
      <c r="A46" s="394" t="s">
        <v>676</v>
      </c>
      <c r="B46" s="395">
        <v>1256</v>
      </c>
      <c r="C46" s="395">
        <v>1252</v>
      </c>
      <c r="D46" s="395">
        <v>2508</v>
      </c>
      <c r="E46" s="395">
        <v>1260</v>
      </c>
      <c r="F46" s="395">
        <v>1239</v>
      </c>
      <c r="G46" s="395">
        <v>2499</v>
      </c>
      <c r="H46" s="395">
        <v>1256</v>
      </c>
      <c r="I46" s="395">
        <v>1216</v>
      </c>
      <c r="J46" s="395">
        <v>2472</v>
      </c>
      <c r="K46" t="str">
        <f t="shared" si="0"/>
        <v>Orsara di Puglia</v>
      </c>
    </row>
    <row r="47" spans="1:11">
      <c r="A47" s="394" t="s">
        <v>677</v>
      </c>
      <c r="B47" s="395">
        <v>8339</v>
      </c>
      <c r="C47" s="395">
        <v>8449</v>
      </c>
      <c r="D47" s="395">
        <v>16788</v>
      </c>
      <c r="E47" s="395">
        <v>8267</v>
      </c>
      <c r="F47" s="395">
        <v>8378</v>
      </c>
      <c r="G47" s="395">
        <v>16645</v>
      </c>
      <c r="H47" s="395">
        <v>8241</v>
      </c>
      <c r="I47" s="395">
        <v>8368</v>
      </c>
      <c r="J47" s="395">
        <v>16609</v>
      </c>
      <c r="K47" t="str">
        <f t="shared" si="0"/>
        <v>Orta Nova</v>
      </c>
    </row>
    <row r="48" spans="1:11">
      <c r="A48" s="394" t="s">
        <v>678</v>
      </c>
      <c r="B48" s="395">
        <v>332</v>
      </c>
      <c r="C48" s="395">
        <v>360</v>
      </c>
      <c r="D48" s="395">
        <v>692</v>
      </c>
      <c r="E48" s="395">
        <v>323</v>
      </c>
      <c r="F48" s="395">
        <v>359</v>
      </c>
      <c r="G48" s="395">
        <v>682</v>
      </c>
      <c r="H48" s="395">
        <v>316</v>
      </c>
      <c r="I48" s="395">
        <v>352</v>
      </c>
      <c r="J48" s="395">
        <v>668</v>
      </c>
      <c r="K48" t="str">
        <f t="shared" si="0"/>
        <v>Panni</v>
      </c>
    </row>
    <row r="49" spans="1:11">
      <c r="A49" s="394" t="s">
        <v>679</v>
      </c>
      <c r="B49" s="395">
        <v>2145</v>
      </c>
      <c r="C49" s="395">
        <v>2140</v>
      </c>
      <c r="D49" s="395">
        <v>4285</v>
      </c>
      <c r="E49" s="395">
        <v>2133</v>
      </c>
      <c r="F49" s="395">
        <v>2163</v>
      </c>
      <c r="G49" s="395">
        <v>4296</v>
      </c>
      <c r="H49" s="395">
        <v>2122</v>
      </c>
      <c r="I49" s="395">
        <v>2148</v>
      </c>
      <c r="J49" s="395">
        <v>4270</v>
      </c>
      <c r="K49" t="str">
        <f t="shared" si="0"/>
        <v>Peschici</v>
      </c>
    </row>
    <row r="50" spans="1:11">
      <c r="A50" s="394" t="s">
        <v>680</v>
      </c>
      <c r="B50" s="395">
        <v>1200</v>
      </c>
      <c r="C50" s="395">
        <v>1270</v>
      </c>
      <c r="D50" s="395">
        <v>2470</v>
      </c>
      <c r="E50" s="395">
        <v>1190</v>
      </c>
      <c r="F50" s="395">
        <v>1267</v>
      </c>
      <c r="G50" s="395">
        <v>2457</v>
      </c>
      <c r="H50" s="395">
        <v>1163</v>
      </c>
      <c r="I50" s="395">
        <v>1243</v>
      </c>
      <c r="J50" s="395">
        <v>2406</v>
      </c>
      <c r="K50" t="str">
        <f t="shared" si="0"/>
        <v>Pietramontecorvino</v>
      </c>
    </row>
    <row r="51" spans="1:11">
      <c r="A51" s="394" t="s">
        <v>681</v>
      </c>
      <c r="B51" s="395">
        <v>1253</v>
      </c>
      <c r="C51" s="395">
        <v>1236</v>
      </c>
      <c r="D51" s="395">
        <v>2489</v>
      </c>
      <c r="E51" s="395">
        <v>1273</v>
      </c>
      <c r="F51" s="395">
        <v>1213</v>
      </c>
      <c r="G51" s="395">
        <v>2486</v>
      </c>
      <c r="H51" s="395">
        <v>1297</v>
      </c>
      <c r="I51" s="395">
        <v>1221</v>
      </c>
      <c r="J51" s="395">
        <v>2518</v>
      </c>
      <c r="K51" t="str">
        <f t="shared" si="0"/>
        <v>Poggio Imperiale</v>
      </c>
    </row>
    <row r="52" spans="1:11">
      <c r="A52" s="394" t="s">
        <v>682</v>
      </c>
      <c r="B52" s="395">
        <v>891</v>
      </c>
      <c r="C52" s="395">
        <v>927</v>
      </c>
      <c r="D52" s="395">
        <v>1818</v>
      </c>
      <c r="E52" s="395">
        <v>879</v>
      </c>
      <c r="F52" s="395">
        <v>910</v>
      </c>
      <c r="G52" s="395">
        <v>1789</v>
      </c>
      <c r="H52" s="395">
        <v>864</v>
      </c>
      <c r="I52" s="395">
        <v>887</v>
      </c>
      <c r="J52" s="395">
        <v>1751</v>
      </c>
      <c r="K52" t="str">
        <f t="shared" si="0"/>
        <v>Rignano Garganico</v>
      </c>
    </row>
    <row r="53" spans="1:11">
      <c r="A53" s="394" t="s">
        <v>683</v>
      </c>
      <c r="B53" s="395">
        <v>835</v>
      </c>
      <c r="C53" s="395">
        <v>859</v>
      </c>
      <c r="D53" s="395">
        <v>1694</v>
      </c>
      <c r="E53" s="395">
        <v>802</v>
      </c>
      <c r="F53" s="395">
        <v>848</v>
      </c>
      <c r="G53" s="395">
        <v>1650</v>
      </c>
      <c r="H53" s="395">
        <v>792</v>
      </c>
      <c r="I53" s="395">
        <v>830</v>
      </c>
      <c r="J53" s="395">
        <v>1622</v>
      </c>
      <c r="K53" t="str">
        <f t="shared" si="0"/>
        <v>Rocchetta Sant'Antonio</v>
      </c>
    </row>
    <row r="54" spans="1:11">
      <c r="A54" s="394" t="s">
        <v>684</v>
      </c>
      <c r="B54" s="395">
        <v>1658</v>
      </c>
      <c r="C54" s="395">
        <v>1670</v>
      </c>
      <c r="D54" s="395">
        <v>3328</v>
      </c>
      <c r="E54" s="395">
        <v>1660</v>
      </c>
      <c r="F54" s="395">
        <v>1678</v>
      </c>
      <c r="G54" s="395">
        <v>3338</v>
      </c>
      <c r="H54" s="395">
        <v>1658</v>
      </c>
      <c r="I54" s="395">
        <v>1665</v>
      </c>
      <c r="J54" s="395">
        <v>3323</v>
      </c>
      <c r="K54" t="str">
        <f t="shared" si="0"/>
        <v>Rodi Garganico</v>
      </c>
    </row>
    <row r="55" spans="1:11">
      <c r="A55" s="394" t="s">
        <v>685</v>
      </c>
      <c r="B55" s="395">
        <v>486</v>
      </c>
      <c r="C55" s="395">
        <v>511</v>
      </c>
      <c r="D55" s="395">
        <v>997</v>
      </c>
      <c r="E55" s="395">
        <v>483</v>
      </c>
      <c r="F55" s="395">
        <v>511</v>
      </c>
      <c r="G55" s="395">
        <v>994</v>
      </c>
      <c r="H55" s="395">
        <v>481</v>
      </c>
      <c r="I55" s="395">
        <v>506</v>
      </c>
      <c r="J55" s="395">
        <v>987</v>
      </c>
      <c r="K55" t="str">
        <f t="shared" si="0"/>
        <v>Roseto Valfortore</v>
      </c>
    </row>
    <row r="56" spans="1:11">
      <c r="A56" s="394" t="s">
        <v>686</v>
      </c>
      <c r="B56" s="395">
        <v>12876</v>
      </c>
      <c r="C56" s="395">
        <v>13385</v>
      </c>
      <c r="D56" s="395">
        <v>26261</v>
      </c>
      <c r="E56" s="395">
        <v>13025</v>
      </c>
      <c r="F56" s="395">
        <v>13289</v>
      </c>
      <c r="G56" s="395">
        <v>26314</v>
      </c>
      <c r="H56" s="395">
        <v>13059</v>
      </c>
      <c r="I56" s="395">
        <v>13212</v>
      </c>
      <c r="J56" s="395">
        <v>26271</v>
      </c>
      <c r="K56" t="str">
        <f t="shared" si="0"/>
        <v>San Giovanni Rotondo</v>
      </c>
    </row>
    <row r="57" spans="1:11">
      <c r="A57" s="394" t="s">
        <v>687</v>
      </c>
      <c r="B57" s="395">
        <v>6254</v>
      </c>
      <c r="C57" s="395">
        <v>6407</v>
      </c>
      <c r="D57" s="395">
        <v>12661</v>
      </c>
      <c r="E57" s="395">
        <v>6148</v>
      </c>
      <c r="F57" s="395">
        <v>6321</v>
      </c>
      <c r="G57" s="395">
        <v>12469</v>
      </c>
      <c r="H57" s="395">
        <v>6107</v>
      </c>
      <c r="I57" s="395">
        <v>6228</v>
      </c>
      <c r="J57" s="395">
        <v>12335</v>
      </c>
      <c r="K57" t="str">
        <f t="shared" si="0"/>
        <v>San Marco in Lamis</v>
      </c>
    </row>
    <row r="58" spans="1:11">
      <c r="A58" s="394" t="s">
        <v>688</v>
      </c>
      <c r="B58" s="395">
        <v>428</v>
      </c>
      <c r="C58" s="395">
        <v>451</v>
      </c>
      <c r="D58" s="395">
        <v>879</v>
      </c>
      <c r="E58" s="395">
        <v>423</v>
      </c>
      <c r="F58" s="395">
        <v>437</v>
      </c>
      <c r="G58" s="395">
        <v>860</v>
      </c>
      <c r="H58" s="395">
        <v>413</v>
      </c>
      <c r="I58" s="395">
        <v>429</v>
      </c>
      <c r="J58" s="395">
        <v>842</v>
      </c>
      <c r="K58" t="str">
        <f t="shared" si="0"/>
        <v>San Marco la Catola</v>
      </c>
    </row>
    <row r="59" spans="1:11">
      <c r="A59" s="394" t="s">
        <v>689</v>
      </c>
      <c r="B59" s="395">
        <v>6597</v>
      </c>
      <c r="C59" s="395">
        <v>7205</v>
      </c>
      <c r="D59" s="395">
        <v>13802</v>
      </c>
      <c r="E59" s="395">
        <v>6535</v>
      </c>
      <c r="F59" s="395">
        <v>7083</v>
      </c>
      <c r="G59" s="395">
        <v>13618</v>
      </c>
      <c r="H59" s="395">
        <v>6435</v>
      </c>
      <c r="I59" s="395">
        <v>6978</v>
      </c>
      <c r="J59" s="395">
        <v>13413</v>
      </c>
      <c r="K59" t="str">
        <f t="shared" si="0"/>
        <v>San Nicandro Garganico</v>
      </c>
    </row>
    <row r="60" spans="1:11">
      <c r="A60" s="394" t="s">
        <v>690</v>
      </c>
      <c r="B60" s="395">
        <v>2694</v>
      </c>
      <c r="C60" s="395">
        <v>2763</v>
      </c>
      <c r="D60" s="395">
        <v>5457</v>
      </c>
      <c r="E60" s="395">
        <v>2673</v>
      </c>
      <c r="F60" s="395">
        <v>2724</v>
      </c>
      <c r="G60" s="395">
        <v>5397</v>
      </c>
      <c r="H60" s="395">
        <v>2663</v>
      </c>
      <c r="I60" s="395">
        <v>2688</v>
      </c>
      <c r="J60" s="395">
        <v>5351</v>
      </c>
      <c r="K60" t="str">
        <f t="shared" si="0"/>
        <v>San Paolo di Civitate</v>
      </c>
    </row>
    <row r="61" spans="1:11">
      <c r="A61" s="394" t="s">
        <v>691</v>
      </c>
      <c r="B61" s="395">
        <v>24217</v>
      </c>
      <c r="C61" s="395">
        <v>25264</v>
      </c>
      <c r="D61" s="395">
        <v>49481</v>
      </c>
      <c r="E61" s="395">
        <v>24234</v>
      </c>
      <c r="F61" s="395">
        <v>25053</v>
      </c>
      <c r="G61" s="395">
        <v>49287</v>
      </c>
      <c r="H61" s="395">
        <v>24180</v>
      </c>
      <c r="I61" s="395">
        <v>24875</v>
      </c>
      <c r="J61" s="395">
        <v>49055</v>
      </c>
      <c r="K61" t="str">
        <f t="shared" si="0"/>
        <v>San Severo</v>
      </c>
    </row>
    <row r="62" spans="1:11">
      <c r="A62" s="394" t="s">
        <v>692</v>
      </c>
      <c r="B62" s="395">
        <v>886</v>
      </c>
      <c r="C62" s="395">
        <v>918</v>
      </c>
      <c r="D62" s="395">
        <v>1804</v>
      </c>
      <c r="E62" s="395">
        <v>887</v>
      </c>
      <c r="F62" s="395">
        <v>906</v>
      </c>
      <c r="G62" s="395">
        <v>1793</v>
      </c>
      <c r="H62" s="395">
        <v>879</v>
      </c>
      <c r="I62" s="395">
        <v>896</v>
      </c>
      <c r="J62" s="395">
        <v>1775</v>
      </c>
      <c r="K62" t="str">
        <f t="shared" si="0"/>
        <v>Sant'Agata di Puglia</v>
      </c>
    </row>
    <row r="63" spans="1:11">
      <c r="A63" s="394" t="s">
        <v>693</v>
      </c>
      <c r="B63" s="395">
        <v>1783</v>
      </c>
      <c r="C63" s="395">
        <v>1851</v>
      </c>
      <c r="D63" s="395">
        <v>3634</v>
      </c>
      <c r="E63" s="395">
        <v>1776</v>
      </c>
      <c r="F63" s="395">
        <v>1839</v>
      </c>
      <c r="G63" s="395">
        <v>3615</v>
      </c>
      <c r="H63" s="395">
        <v>1765</v>
      </c>
      <c r="I63" s="395">
        <v>1812</v>
      </c>
      <c r="J63" s="395">
        <v>3577</v>
      </c>
      <c r="K63" t="str">
        <f t="shared" si="0"/>
        <v>Serracapriola</v>
      </c>
    </row>
    <row r="64" spans="1:11">
      <c r="A64" s="394" t="s">
        <v>694</v>
      </c>
      <c r="B64" s="395">
        <v>2924</v>
      </c>
      <c r="C64" s="395">
        <v>2852</v>
      </c>
      <c r="D64" s="395">
        <v>5776</v>
      </c>
      <c r="E64" s="395">
        <v>2929</v>
      </c>
      <c r="F64" s="395">
        <v>2856</v>
      </c>
      <c r="G64" s="395">
        <v>5785</v>
      </c>
      <c r="H64" s="395">
        <v>2926</v>
      </c>
      <c r="I64" s="395">
        <v>2846</v>
      </c>
      <c r="J64" s="395">
        <v>5772</v>
      </c>
      <c r="K64" t="str">
        <f t="shared" si="0"/>
        <v>Stornara</v>
      </c>
    </row>
    <row r="65" spans="1:11">
      <c r="A65" s="394" t="s">
        <v>695</v>
      </c>
      <c r="B65" s="395">
        <v>2585</v>
      </c>
      <c r="C65" s="395">
        <v>2672</v>
      </c>
      <c r="D65" s="395">
        <v>5257</v>
      </c>
      <c r="E65" s="395">
        <v>2640</v>
      </c>
      <c r="F65" s="395">
        <v>2689</v>
      </c>
      <c r="G65" s="395">
        <v>5329</v>
      </c>
      <c r="H65" s="395">
        <v>2648</v>
      </c>
      <c r="I65" s="395">
        <v>2709</v>
      </c>
      <c r="J65" s="395">
        <v>5357</v>
      </c>
      <c r="K65" t="str">
        <f t="shared" si="0"/>
        <v>Stornarella</v>
      </c>
    </row>
    <row r="66" spans="1:11">
      <c r="A66" s="394" t="s">
        <v>696</v>
      </c>
      <c r="B66" s="395">
        <v>8197</v>
      </c>
      <c r="C66" s="395">
        <v>8334</v>
      </c>
      <c r="D66" s="395">
        <v>16531</v>
      </c>
      <c r="E66" s="395">
        <v>8185</v>
      </c>
      <c r="F66" s="395">
        <v>8286</v>
      </c>
      <c r="G66" s="395">
        <v>16471</v>
      </c>
      <c r="H66" s="395">
        <v>8150</v>
      </c>
      <c r="I66" s="395">
        <v>8198</v>
      </c>
      <c r="J66" s="395">
        <v>16348</v>
      </c>
      <c r="K66" t="str">
        <f t="shared" si="0"/>
        <v>Torremaggiore</v>
      </c>
    </row>
    <row r="67" spans="1:11">
      <c r="A67" s="394" t="s">
        <v>697</v>
      </c>
      <c r="B67" s="395">
        <v>3231</v>
      </c>
      <c r="C67" s="395">
        <v>3459</v>
      </c>
      <c r="D67" s="395">
        <v>6690</v>
      </c>
      <c r="E67" s="395">
        <v>3198</v>
      </c>
      <c r="F67" s="395">
        <v>3404</v>
      </c>
      <c r="G67" s="395">
        <v>6602</v>
      </c>
      <c r="H67" s="395">
        <v>3171</v>
      </c>
      <c r="I67" s="395">
        <v>3396</v>
      </c>
      <c r="J67" s="395">
        <v>6567</v>
      </c>
      <c r="K67" t="str">
        <f t="shared" si="0"/>
        <v>Troia</v>
      </c>
    </row>
    <row r="68" spans="1:11">
      <c r="A68" s="394" t="s">
        <v>698</v>
      </c>
      <c r="B68" s="395">
        <v>3592</v>
      </c>
      <c r="C68" s="395">
        <v>3706</v>
      </c>
      <c r="D68" s="395">
        <v>7298</v>
      </c>
      <c r="E68" s="395">
        <v>3583</v>
      </c>
      <c r="F68" s="395">
        <v>3707</v>
      </c>
      <c r="G68" s="395">
        <v>7290</v>
      </c>
      <c r="H68" s="395">
        <v>3541</v>
      </c>
      <c r="I68" s="395">
        <v>3690</v>
      </c>
      <c r="J68" s="395">
        <v>7231</v>
      </c>
      <c r="K68" t="str">
        <f t="shared" si="0"/>
        <v>Vico del Gargano</v>
      </c>
    </row>
    <row r="69" spans="1:11">
      <c r="A69" s="394" t="s">
        <v>699</v>
      </c>
      <c r="B69" s="395">
        <v>6644</v>
      </c>
      <c r="C69" s="395">
        <v>6754</v>
      </c>
      <c r="D69" s="395">
        <v>13398</v>
      </c>
      <c r="E69" s="395">
        <v>6579</v>
      </c>
      <c r="F69" s="395">
        <v>6717</v>
      </c>
      <c r="G69" s="395">
        <v>13296</v>
      </c>
      <c r="H69" s="395">
        <v>6531</v>
      </c>
      <c r="I69" s="395">
        <v>6708</v>
      </c>
      <c r="J69" s="395">
        <v>13239</v>
      </c>
      <c r="K69" t="str">
        <f t="shared" si="0"/>
        <v>Vieste</v>
      </c>
    </row>
    <row r="70" spans="1:11">
      <c r="A70" s="394" t="s">
        <v>700</v>
      </c>
      <c r="B70" s="395">
        <v>172</v>
      </c>
      <c r="C70" s="395">
        <v>208</v>
      </c>
      <c r="D70" s="395">
        <v>380</v>
      </c>
      <c r="E70" s="395">
        <v>168</v>
      </c>
      <c r="F70" s="395">
        <v>198</v>
      </c>
      <c r="G70" s="395">
        <v>366</v>
      </c>
      <c r="H70" s="395">
        <v>162</v>
      </c>
      <c r="I70" s="395">
        <v>192</v>
      </c>
      <c r="J70" s="395">
        <v>354</v>
      </c>
      <c r="K70" t="str">
        <f t="shared" si="0"/>
        <v>Volturara Appula</v>
      </c>
    </row>
    <row r="71" spans="1:11">
      <c r="A71" s="394" t="s">
        <v>701</v>
      </c>
      <c r="B71" s="395">
        <v>737</v>
      </c>
      <c r="C71" s="395">
        <v>815</v>
      </c>
      <c r="D71" s="395">
        <v>1552</v>
      </c>
      <c r="E71" s="395">
        <v>724</v>
      </c>
      <c r="F71" s="395">
        <v>793</v>
      </c>
      <c r="G71" s="395">
        <v>1517</v>
      </c>
      <c r="H71" s="395">
        <v>724</v>
      </c>
      <c r="I71" s="395">
        <v>775</v>
      </c>
      <c r="J71" s="395">
        <v>1499</v>
      </c>
      <c r="K71" t="str">
        <f t="shared" si="0"/>
        <v>Volturino</v>
      </c>
    </row>
    <row r="72" spans="1:11">
      <c r="A72" s="394" t="s">
        <v>702</v>
      </c>
      <c r="B72" s="395">
        <v>1692</v>
      </c>
      <c r="C72" s="395">
        <v>1597</v>
      </c>
      <c r="D72" s="395">
        <v>3289</v>
      </c>
      <c r="E72" s="395">
        <v>1700</v>
      </c>
      <c r="F72" s="395">
        <v>1589</v>
      </c>
      <c r="G72" s="395">
        <v>3289</v>
      </c>
      <c r="H72" s="395">
        <v>1674</v>
      </c>
      <c r="I72" s="395">
        <v>1567</v>
      </c>
      <c r="J72" s="395">
        <v>3241</v>
      </c>
      <c r="K72" t="str">
        <f t="shared" si="0"/>
        <v>Zapponeta</v>
      </c>
    </row>
    <row r="73" spans="1:11">
      <c r="A73" s="396" t="s">
        <v>901</v>
      </c>
      <c r="B73" s="395">
        <v>597465</v>
      </c>
      <c r="C73" s="395">
        <v>627583</v>
      </c>
      <c r="D73" s="395">
        <v>1225048</v>
      </c>
      <c r="E73" s="395">
        <v>596069</v>
      </c>
      <c r="F73" s="395">
        <v>625613</v>
      </c>
      <c r="G73" s="395">
        <v>1221682</v>
      </c>
      <c r="H73" s="395">
        <v>594708</v>
      </c>
      <c r="I73" s="395">
        <v>623483</v>
      </c>
      <c r="J73" s="395">
        <v>1218191</v>
      </c>
      <c r="K73" t="str">
        <f t="shared" si="0"/>
        <v>Provincia Bari</v>
      </c>
    </row>
    <row r="74" spans="1:11">
      <c r="A74" s="394" t="s">
        <v>703</v>
      </c>
      <c r="B74" s="395">
        <v>9694</v>
      </c>
      <c r="C74" s="395">
        <v>10258</v>
      </c>
      <c r="D74" s="395">
        <v>19952</v>
      </c>
      <c r="E74" s="395">
        <v>9602</v>
      </c>
      <c r="F74" s="395">
        <v>10224</v>
      </c>
      <c r="G74" s="395">
        <v>19826</v>
      </c>
      <c r="H74" s="395">
        <v>9576</v>
      </c>
      <c r="I74" s="395">
        <v>10151</v>
      </c>
      <c r="J74" s="395">
        <v>19727</v>
      </c>
      <c r="K74" t="str">
        <f t="shared" si="0"/>
        <v>Acquaviva delle Fonti</v>
      </c>
    </row>
    <row r="75" spans="1:11">
      <c r="A75" s="394" t="s">
        <v>704</v>
      </c>
      <c r="B75" s="395">
        <v>8075</v>
      </c>
      <c r="C75" s="395">
        <v>8443</v>
      </c>
      <c r="D75" s="395">
        <v>16518</v>
      </c>
      <c r="E75" s="395">
        <v>8059</v>
      </c>
      <c r="F75" s="395">
        <v>8414</v>
      </c>
      <c r="G75" s="395">
        <v>16473</v>
      </c>
      <c r="H75" s="395">
        <v>8079</v>
      </c>
      <c r="I75" s="395">
        <v>8373</v>
      </c>
      <c r="J75" s="395">
        <v>16452</v>
      </c>
      <c r="K75" t="str">
        <f t="shared" ref="K75:K138" si="1">TRIM(A75)</f>
        <v>Adelfia</v>
      </c>
    </row>
    <row r="76" spans="1:11">
      <c r="A76" s="394" t="s">
        <v>705</v>
      </c>
      <c r="B76" s="395">
        <v>4972</v>
      </c>
      <c r="C76" s="395">
        <v>5296</v>
      </c>
      <c r="D76" s="395">
        <v>10268</v>
      </c>
      <c r="E76" s="395">
        <v>4940</v>
      </c>
      <c r="F76" s="395">
        <v>5237</v>
      </c>
      <c r="G76" s="395">
        <v>10177</v>
      </c>
      <c r="H76" s="395">
        <v>4924</v>
      </c>
      <c r="I76" s="395">
        <v>5186</v>
      </c>
      <c r="J76" s="395">
        <v>10110</v>
      </c>
      <c r="K76" t="str">
        <f t="shared" si="1"/>
        <v>Alberobello</v>
      </c>
    </row>
    <row r="77" spans="1:11">
      <c r="A77" s="394" t="s">
        <v>706</v>
      </c>
      <c r="B77" s="395">
        <v>34390</v>
      </c>
      <c r="C77" s="395">
        <v>35648</v>
      </c>
      <c r="D77" s="395">
        <v>70038</v>
      </c>
      <c r="E77" s="395">
        <v>34411</v>
      </c>
      <c r="F77" s="395">
        <v>35682</v>
      </c>
      <c r="G77" s="395">
        <v>70093</v>
      </c>
      <c r="H77" s="395">
        <v>34449</v>
      </c>
      <c r="I77" s="395">
        <v>35645</v>
      </c>
      <c r="J77" s="395">
        <v>70094</v>
      </c>
      <c r="K77" t="str">
        <f t="shared" si="1"/>
        <v>Altamura</v>
      </c>
    </row>
    <row r="78" spans="1:11">
      <c r="A78" s="394" t="s">
        <v>640</v>
      </c>
      <c r="B78" s="395">
        <v>152301</v>
      </c>
      <c r="C78" s="395">
        <v>164435</v>
      </c>
      <c r="D78" s="395">
        <v>316736</v>
      </c>
      <c r="E78" s="395">
        <v>152156</v>
      </c>
      <c r="F78" s="395">
        <v>164070</v>
      </c>
      <c r="G78" s="395">
        <v>316226</v>
      </c>
      <c r="H78" s="395">
        <v>151885</v>
      </c>
      <c r="I78" s="395">
        <v>163588</v>
      </c>
      <c r="J78" s="395">
        <v>315473</v>
      </c>
      <c r="K78" t="str">
        <f t="shared" si="1"/>
        <v>Bari</v>
      </c>
    </row>
    <row r="79" spans="1:11">
      <c r="A79" s="394" t="s">
        <v>707</v>
      </c>
      <c r="B79" s="395">
        <v>1054</v>
      </c>
      <c r="C79" s="395">
        <v>1073</v>
      </c>
      <c r="D79" s="395">
        <v>2127</v>
      </c>
      <c r="E79" s="395">
        <v>1070</v>
      </c>
      <c r="F79" s="395">
        <v>1081</v>
      </c>
      <c r="G79" s="395">
        <v>2151</v>
      </c>
      <c r="H79" s="395">
        <v>1071</v>
      </c>
      <c r="I79" s="395">
        <v>1095</v>
      </c>
      <c r="J79" s="395">
        <v>2166</v>
      </c>
      <c r="K79" t="str">
        <f t="shared" si="1"/>
        <v>Binetto</v>
      </c>
    </row>
    <row r="80" spans="1:11">
      <c r="A80" s="394" t="s">
        <v>708</v>
      </c>
      <c r="B80" s="395">
        <v>5749</v>
      </c>
      <c r="C80" s="395">
        <v>6014</v>
      </c>
      <c r="D80" s="395">
        <v>11763</v>
      </c>
      <c r="E80" s="395">
        <v>5746</v>
      </c>
      <c r="F80" s="395">
        <v>5997</v>
      </c>
      <c r="G80" s="395">
        <v>11743</v>
      </c>
      <c r="H80" s="395">
        <v>5742</v>
      </c>
      <c r="I80" s="395">
        <v>5986</v>
      </c>
      <c r="J80" s="395">
        <v>11728</v>
      </c>
      <c r="K80" t="str">
        <f t="shared" si="1"/>
        <v>Bitetto</v>
      </c>
    </row>
    <row r="81" spans="1:11">
      <c r="A81" s="394" t="s">
        <v>709</v>
      </c>
      <c r="B81" s="395">
        <v>26249</v>
      </c>
      <c r="C81" s="395">
        <v>27033</v>
      </c>
      <c r="D81" s="395">
        <v>53282</v>
      </c>
      <c r="E81" s="395">
        <v>26186</v>
      </c>
      <c r="F81" s="395">
        <v>26917</v>
      </c>
      <c r="G81" s="395">
        <v>53103</v>
      </c>
      <c r="H81" s="395">
        <v>26085</v>
      </c>
      <c r="I81" s="395">
        <v>26830</v>
      </c>
      <c r="J81" s="395">
        <v>52915</v>
      </c>
      <c r="K81" t="str">
        <f t="shared" si="1"/>
        <v>Bitonto</v>
      </c>
    </row>
    <row r="82" spans="1:11">
      <c r="A82" s="394" t="s">
        <v>710</v>
      </c>
      <c r="B82" s="395">
        <v>5556</v>
      </c>
      <c r="C82" s="395">
        <v>5773</v>
      </c>
      <c r="D82" s="395">
        <v>11329</v>
      </c>
      <c r="E82" s="395">
        <v>5550</v>
      </c>
      <c r="F82" s="395">
        <v>5783</v>
      </c>
      <c r="G82" s="395">
        <v>11333</v>
      </c>
      <c r="H82" s="395">
        <v>5589</v>
      </c>
      <c r="I82" s="395">
        <v>5810</v>
      </c>
      <c r="J82" s="395">
        <v>11399</v>
      </c>
      <c r="K82" t="str">
        <f t="shared" si="1"/>
        <v>Bitritto</v>
      </c>
    </row>
    <row r="83" spans="1:11">
      <c r="A83" s="394" t="s">
        <v>711</v>
      </c>
      <c r="B83" s="395">
        <v>7401</v>
      </c>
      <c r="C83" s="395">
        <v>7838</v>
      </c>
      <c r="D83" s="395">
        <v>15239</v>
      </c>
      <c r="E83" s="395">
        <v>7358</v>
      </c>
      <c r="F83" s="395">
        <v>7816</v>
      </c>
      <c r="G83" s="395">
        <v>15174</v>
      </c>
      <c r="H83" s="395">
        <v>7295</v>
      </c>
      <c r="I83" s="395">
        <v>7737</v>
      </c>
      <c r="J83" s="395">
        <v>15032</v>
      </c>
      <c r="K83" t="str">
        <f t="shared" si="1"/>
        <v>Capurso</v>
      </c>
    </row>
    <row r="84" spans="1:11">
      <c r="A84" s="394" t="s">
        <v>712</v>
      </c>
      <c r="B84" s="395">
        <v>9532</v>
      </c>
      <c r="C84" s="395">
        <v>9786</v>
      </c>
      <c r="D84" s="395">
        <v>19318</v>
      </c>
      <c r="E84" s="395">
        <v>9483</v>
      </c>
      <c r="F84" s="395">
        <v>9725</v>
      </c>
      <c r="G84" s="395">
        <v>19208</v>
      </c>
      <c r="H84" s="395">
        <v>9465</v>
      </c>
      <c r="I84" s="395">
        <v>9723</v>
      </c>
      <c r="J84" s="395">
        <v>19188</v>
      </c>
      <c r="K84" t="str">
        <f t="shared" si="1"/>
        <v>Casamassima</v>
      </c>
    </row>
    <row r="85" spans="1:11">
      <c r="A85" s="394" t="s">
        <v>713</v>
      </c>
      <c r="B85" s="395">
        <v>7461</v>
      </c>
      <c r="C85" s="395">
        <v>7611</v>
      </c>
      <c r="D85" s="395">
        <v>15072</v>
      </c>
      <c r="E85" s="395">
        <v>7482</v>
      </c>
      <c r="F85" s="395">
        <v>7601</v>
      </c>
      <c r="G85" s="395">
        <v>15083</v>
      </c>
      <c r="H85" s="395">
        <v>7552</v>
      </c>
      <c r="I85" s="395">
        <v>7599</v>
      </c>
      <c r="J85" s="395">
        <v>15151</v>
      </c>
      <c r="K85" t="str">
        <f t="shared" si="1"/>
        <v>Cassano delle Murge</v>
      </c>
    </row>
    <row r="86" spans="1:11">
      <c r="A86" s="394" t="s">
        <v>714</v>
      </c>
      <c r="B86" s="395">
        <v>9488</v>
      </c>
      <c r="C86" s="395">
        <v>10037</v>
      </c>
      <c r="D86" s="395">
        <v>19525</v>
      </c>
      <c r="E86" s="395">
        <v>9543</v>
      </c>
      <c r="F86" s="395">
        <v>10132</v>
      </c>
      <c r="G86" s="395">
        <v>19675</v>
      </c>
      <c r="H86" s="395">
        <v>9569</v>
      </c>
      <c r="I86" s="395">
        <v>10098</v>
      </c>
      <c r="J86" s="395">
        <v>19667</v>
      </c>
      <c r="K86" t="str">
        <f t="shared" si="1"/>
        <v>Castellana Grotte</v>
      </c>
    </row>
    <row r="87" spans="1:11">
      <c r="A87" s="394" t="s">
        <v>715</v>
      </c>
      <c r="B87" s="395">
        <v>2854</v>
      </c>
      <c r="C87" s="395">
        <v>2955</v>
      </c>
      <c r="D87" s="395">
        <v>5809</v>
      </c>
      <c r="E87" s="395">
        <v>2863</v>
      </c>
      <c r="F87" s="395">
        <v>2947</v>
      </c>
      <c r="G87" s="395">
        <v>5810</v>
      </c>
      <c r="H87" s="395">
        <v>2852</v>
      </c>
      <c r="I87" s="395">
        <v>2931</v>
      </c>
      <c r="J87" s="395">
        <v>5783</v>
      </c>
      <c r="K87" t="str">
        <f t="shared" si="1"/>
        <v>Cellamare</v>
      </c>
    </row>
    <row r="88" spans="1:11">
      <c r="A88" s="394" t="s">
        <v>716</v>
      </c>
      <c r="B88" s="395">
        <v>12649</v>
      </c>
      <c r="C88" s="395">
        <v>13107</v>
      </c>
      <c r="D88" s="395">
        <v>25756</v>
      </c>
      <c r="E88" s="395">
        <v>12678</v>
      </c>
      <c r="F88" s="395">
        <v>13149</v>
      </c>
      <c r="G88" s="395">
        <v>25827</v>
      </c>
      <c r="H88" s="395">
        <v>12693</v>
      </c>
      <c r="I88" s="395">
        <v>13210</v>
      </c>
      <c r="J88" s="395">
        <v>25903</v>
      </c>
      <c r="K88" t="str">
        <f t="shared" si="1"/>
        <v>Conversano</v>
      </c>
    </row>
    <row r="89" spans="1:11">
      <c r="A89" s="394" t="s">
        <v>717</v>
      </c>
      <c r="B89" s="395">
        <v>23002</v>
      </c>
      <c r="C89" s="395">
        <v>24077</v>
      </c>
      <c r="D89" s="395">
        <v>47079</v>
      </c>
      <c r="E89" s="395">
        <v>22989</v>
      </c>
      <c r="F89" s="395">
        <v>23996</v>
      </c>
      <c r="G89" s="395">
        <v>46985</v>
      </c>
      <c r="H89" s="395">
        <v>22981</v>
      </c>
      <c r="I89" s="395">
        <v>23901</v>
      </c>
      <c r="J89" s="395">
        <v>46882</v>
      </c>
      <c r="K89" t="str">
        <f t="shared" si="1"/>
        <v>Corato</v>
      </c>
    </row>
    <row r="90" spans="1:11">
      <c r="A90" s="394" t="s">
        <v>718</v>
      </c>
      <c r="B90" s="395">
        <v>13017</v>
      </c>
      <c r="C90" s="395">
        <v>13598</v>
      </c>
      <c r="D90" s="395">
        <v>26615</v>
      </c>
      <c r="E90" s="395">
        <v>13024</v>
      </c>
      <c r="F90" s="395">
        <v>13478</v>
      </c>
      <c r="G90" s="395">
        <v>26502</v>
      </c>
      <c r="H90" s="395">
        <v>13053</v>
      </c>
      <c r="I90" s="395">
        <v>13390</v>
      </c>
      <c r="J90" s="395">
        <v>26443</v>
      </c>
      <c r="K90" t="str">
        <f t="shared" si="1"/>
        <v>Gioia del Colle</v>
      </c>
    </row>
    <row r="91" spans="1:11">
      <c r="A91" s="394" t="s">
        <v>719</v>
      </c>
      <c r="B91" s="395">
        <v>9386</v>
      </c>
      <c r="C91" s="395">
        <v>10015</v>
      </c>
      <c r="D91" s="395">
        <v>19401</v>
      </c>
      <c r="E91" s="395">
        <v>9294</v>
      </c>
      <c r="F91" s="395">
        <v>9966</v>
      </c>
      <c r="G91" s="395">
        <v>19260</v>
      </c>
      <c r="H91" s="395">
        <v>9227</v>
      </c>
      <c r="I91" s="395">
        <v>9899</v>
      </c>
      <c r="J91" s="395">
        <v>19126</v>
      </c>
      <c r="K91" t="str">
        <f t="shared" si="1"/>
        <v>Giovinazzo</v>
      </c>
    </row>
    <row r="92" spans="1:11">
      <c r="A92" s="394" t="s">
        <v>720</v>
      </c>
      <c r="B92" s="395">
        <v>21152</v>
      </c>
      <c r="C92" s="395">
        <v>21523</v>
      </c>
      <c r="D92" s="395">
        <v>42675</v>
      </c>
      <c r="E92" s="395">
        <v>20954</v>
      </c>
      <c r="F92" s="395">
        <v>21387</v>
      </c>
      <c r="G92" s="395">
        <v>42341</v>
      </c>
      <c r="H92" s="395">
        <v>20841</v>
      </c>
      <c r="I92" s="395">
        <v>21253</v>
      </c>
      <c r="J92" s="395">
        <v>42094</v>
      </c>
      <c r="K92" t="str">
        <f t="shared" si="1"/>
        <v>Gravina in Puglia</v>
      </c>
    </row>
    <row r="93" spans="1:11">
      <c r="A93" s="394" t="s">
        <v>721</v>
      </c>
      <c r="B93" s="395">
        <v>6149</v>
      </c>
      <c r="C93" s="395">
        <v>6016</v>
      </c>
      <c r="D93" s="395">
        <v>12165</v>
      </c>
      <c r="E93" s="395">
        <v>6114</v>
      </c>
      <c r="F93" s="395">
        <v>5964</v>
      </c>
      <c r="G93" s="395">
        <v>12078</v>
      </c>
      <c r="H93" s="395">
        <v>6121</v>
      </c>
      <c r="I93" s="395">
        <v>5919</v>
      </c>
      <c r="J93" s="395">
        <v>12040</v>
      </c>
      <c r="K93" t="str">
        <f t="shared" si="1"/>
        <v>Grumo Appula</v>
      </c>
    </row>
    <row r="94" spans="1:11">
      <c r="A94" s="394" t="s">
        <v>722</v>
      </c>
      <c r="B94" s="395">
        <v>6805</v>
      </c>
      <c r="C94" s="395">
        <v>7132</v>
      </c>
      <c r="D94" s="395">
        <v>13937</v>
      </c>
      <c r="E94" s="395">
        <v>6775</v>
      </c>
      <c r="F94" s="395">
        <v>7121</v>
      </c>
      <c r="G94" s="395">
        <v>13896</v>
      </c>
      <c r="H94" s="395">
        <v>6741</v>
      </c>
      <c r="I94" s="395">
        <v>7092</v>
      </c>
      <c r="J94" s="395">
        <v>13833</v>
      </c>
      <c r="K94" t="str">
        <f t="shared" si="1"/>
        <v>Locorotondo</v>
      </c>
    </row>
    <row r="95" spans="1:11">
      <c r="A95" s="394" t="s">
        <v>723</v>
      </c>
      <c r="B95" s="395">
        <v>17669</v>
      </c>
      <c r="C95" s="395">
        <v>18665</v>
      </c>
      <c r="D95" s="395">
        <v>36334</v>
      </c>
      <c r="E95" s="395">
        <v>17605</v>
      </c>
      <c r="F95" s="395">
        <v>18557</v>
      </c>
      <c r="G95" s="395">
        <v>36162</v>
      </c>
      <c r="H95" s="395">
        <v>17522</v>
      </c>
      <c r="I95" s="395">
        <v>18450</v>
      </c>
      <c r="J95" s="395">
        <v>35972</v>
      </c>
      <c r="K95" t="str">
        <f t="shared" si="1"/>
        <v>Modugno</v>
      </c>
    </row>
    <row r="96" spans="1:11">
      <c r="A96" s="394" t="s">
        <v>724</v>
      </c>
      <c r="B96" s="395">
        <v>12064</v>
      </c>
      <c r="C96" s="395">
        <v>12376</v>
      </c>
      <c r="D96" s="395">
        <v>24440</v>
      </c>
      <c r="E96" s="395">
        <v>12036</v>
      </c>
      <c r="F96" s="395">
        <v>12298</v>
      </c>
      <c r="G96" s="395">
        <v>24334</v>
      </c>
      <c r="H96" s="395">
        <v>11953</v>
      </c>
      <c r="I96" s="395">
        <v>12224</v>
      </c>
      <c r="J96" s="395">
        <v>24177</v>
      </c>
      <c r="K96" t="str">
        <f t="shared" si="1"/>
        <v>Mola di Bari</v>
      </c>
    </row>
    <row r="97" spans="1:11">
      <c r="A97" s="394" t="s">
        <v>725</v>
      </c>
      <c r="B97" s="395">
        <v>27917</v>
      </c>
      <c r="C97" s="395">
        <v>29541</v>
      </c>
      <c r="D97" s="395">
        <v>57458</v>
      </c>
      <c r="E97" s="395">
        <v>27839</v>
      </c>
      <c r="F97" s="395">
        <v>29466</v>
      </c>
      <c r="G97" s="395">
        <v>57305</v>
      </c>
      <c r="H97" s="395">
        <v>27722</v>
      </c>
      <c r="I97" s="395">
        <v>29425</v>
      </c>
      <c r="J97" s="395">
        <v>57147</v>
      </c>
      <c r="K97" t="str">
        <f t="shared" si="1"/>
        <v>Molfetta</v>
      </c>
    </row>
    <row r="98" spans="1:11">
      <c r="A98" s="394" t="s">
        <v>726</v>
      </c>
      <c r="B98" s="395">
        <v>23406</v>
      </c>
      <c r="C98" s="395">
        <v>24598</v>
      </c>
      <c r="D98" s="395">
        <v>48004</v>
      </c>
      <c r="E98" s="395">
        <v>23356</v>
      </c>
      <c r="F98" s="395">
        <v>24501</v>
      </c>
      <c r="G98" s="395">
        <v>47857</v>
      </c>
      <c r="H98" s="395">
        <v>23304</v>
      </c>
      <c r="I98" s="395">
        <v>24450</v>
      </c>
      <c r="J98" s="395">
        <v>47754</v>
      </c>
      <c r="K98" t="str">
        <f t="shared" si="1"/>
        <v>Monopoli</v>
      </c>
    </row>
    <row r="99" spans="1:11">
      <c r="A99" s="394" t="s">
        <v>727</v>
      </c>
      <c r="B99" s="395">
        <v>8909</v>
      </c>
      <c r="C99" s="395">
        <v>9459</v>
      </c>
      <c r="D99" s="395">
        <v>18368</v>
      </c>
      <c r="E99" s="395">
        <v>8869</v>
      </c>
      <c r="F99" s="395">
        <v>9352</v>
      </c>
      <c r="G99" s="395">
        <v>18221</v>
      </c>
      <c r="H99" s="395">
        <v>8813</v>
      </c>
      <c r="I99" s="395">
        <v>9287</v>
      </c>
      <c r="J99" s="395">
        <v>18100</v>
      </c>
      <c r="K99" t="str">
        <f t="shared" si="1"/>
        <v>Noci</v>
      </c>
    </row>
    <row r="100" spans="1:11">
      <c r="A100" s="394" t="s">
        <v>728</v>
      </c>
      <c r="B100" s="395">
        <v>12858</v>
      </c>
      <c r="C100" s="395">
        <v>13077</v>
      </c>
      <c r="D100" s="395">
        <v>25935</v>
      </c>
      <c r="E100" s="395">
        <v>12834</v>
      </c>
      <c r="F100" s="395">
        <v>13078</v>
      </c>
      <c r="G100" s="395">
        <v>25912</v>
      </c>
      <c r="H100" s="395">
        <v>12830</v>
      </c>
      <c r="I100" s="395">
        <v>13020</v>
      </c>
      <c r="J100" s="395">
        <v>25850</v>
      </c>
      <c r="K100" t="str">
        <f t="shared" si="1"/>
        <v>Noicattaro</v>
      </c>
    </row>
    <row r="101" spans="1:11">
      <c r="A101" s="394" t="s">
        <v>729</v>
      </c>
      <c r="B101" s="395">
        <v>10150</v>
      </c>
      <c r="C101" s="395">
        <v>10462</v>
      </c>
      <c r="D101" s="395">
        <v>20612</v>
      </c>
      <c r="E101" s="395">
        <v>10094</v>
      </c>
      <c r="F101" s="395">
        <v>10381</v>
      </c>
      <c r="G101" s="395">
        <v>20475</v>
      </c>
      <c r="H101" s="395">
        <v>10035</v>
      </c>
      <c r="I101" s="395">
        <v>10315</v>
      </c>
      <c r="J101" s="395">
        <v>20350</v>
      </c>
      <c r="K101" t="str">
        <f t="shared" si="1"/>
        <v>Palo del Colle</v>
      </c>
    </row>
    <row r="102" spans="1:11">
      <c r="A102" s="394" t="s">
        <v>730</v>
      </c>
      <c r="B102" s="395">
        <v>644</v>
      </c>
      <c r="C102" s="395">
        <v>635</v>
      </c>
      <c r="D102" s="395">
        <v>1279</v>
      </c>
      <c r="E102" s="395">
        <v>647</v>
      </c>
      <c r="F102" s="395">
        <v>624</v>
      </c>
      <c r="G102" s="395">
        <v>1271</v>
      </c>
      <c r="H102" s="395">
        <v>652</v>
      </c>
      <c r="I102" s="395">
        <v>622</v>
      </c>
      <c r="J102" s="395">
        <v>1274</v>
      </c>
      <c r="K102" t="str">
        <f t="shared" si="1"/>
        <v>Poggiorsini</v>
      </c>
    </row>
    <row r="103" spans="1:11">
      <c r="A103" s="394" t="s">
        <v>731</v>
      </c>
      <c r="B103" s="395">
        <v>8596</v>
      </c>
      <c r="C103" s="395">
        <v>8954</v>
      </c>
      <c r="D103" s="395">
        <v>17550</v>
      </c>
      <c r="E103" s="395">
        <v>8556</v>
      </c>
      <c r="F103" s="395">
        <v>8907</v>
      </c>
      <c r="G103" s="395">
        <v>17463</v>
      </c>
      <c r="H103" s="395">
        <v>8513</v>
      </c>
      <c r="I103" s="395">
        <v>8823</v>
      </c>
      <c r="J103" s="395">
        <v>17336</v>
      </c>
      <c r="K103" t="str">
        <f t="shared" si="1"/>
        <v>Polignano a Mare</v>
      </c>
    </row>
    <row r="104" spans="1:11">
      <c r="A104" s="394" t="s">
        <v>732</v>
      </c>
      <c r="B104" s="395">
        <v>12726</v>
      </c>
      <c r="C104" s="395">
        <v>13246</v>
      </c>
      <c r="D104" s="395">
        <v>25972</v>
      </c>
      <c r="E104" s="395">
        <v>12652</v>
      </c>
      <c r="F104" s="395">
        <v>13199</v>
      </c>
      <c r="G104" s="395">
        <v>25851</v>
      </c>
      <c r="H104" s="395">
        <v>12576</v>
      </c>
      <c r="I104" s="395">
        <v>13130</v>
      </c>
      <c r="J104" s="395">
        <v>25706</v>
      </c>
      <c r="K104" t="str">
        <f t="shared" si="1"/>
        <v>Putignano</v>
      </c>
    </row>
    <row r="105" spans="1:11">
      <c r="A105" s="394" t="s">
        <v>733</v>
      </c>
      <c r="B105" s="395">
        <v>9019</v>
      </c>
      <c r="C105" s="395">
        <v>9287</v>
      </c>
      <c r="D105" s="395">
        <v>18306</v>
      </c>
      <c r="E105" s="395">
        <v>8950</v>
      </c>
      <c r="F105" s="395">
        <v>9269</v>
      </c>
      <c r="G105" s="395">
        <v>18219</v>
      </c>
      <c r="H105" s="395">
        <v>8920</v>
      </c>
      <c r="I105" s="395">
        <v>9295</v>
      </c>
      <c r="J105" s="395">
        <v>18215</v>
      </c>
      <c r="K105" t="str">
        <f t="shared" si="1"/>
        <v>Rutigliano</v>
      </c>
    </row>
    <row r="106" spans="1:11">
      <c r="A106" s="394" t="s">
        <v>734</v>
      </c>
      <c r="B106" s="395">
        <v>11897</v>
      </c>
      <c r="C106" s="395">
        <v>12497</v>
      </c>
      <c r="D106" s="395">
        <v>24394</v>
      </c>
      <c r="E106" s="395">
        <v>11902</v>
      </c>
      <c r="F106" s="395">
        <v>12448</v>
      </c>
      <c r="G106" s="395">
        <v>24350</v>
      </c>
      <c r="H106" s="395">
        <v>11816</v>
      </c>
      <c r="I106" s="395">
        <v>12379</v>
      </c>
      <c r="J106" s="395">
        <v>24195</v>
      </c>
      <c r="K106" t="str">
        <f t="shared" si="1"/>
        <v>Ruvo di Puglia</v>
      </c>
    </row>
    <row r="107" spans="1:11">
      <c r="A107" s="394" t="s">
        <v>735</v>
      </c>
      <c r="B107" s="395">
        <v>2908</v>
      </c>
      <c r="C107" s="395">
        <v>3123</v>
      </c>
      <c r="D107" s="395">
        <v>6031</v>
      </c>
      <c r="E107" s="395">
        <v>2891</v>
      </c>
      <c r="F107" s="395">
        <v>3075</v>
      </c>
      <c r="G107" s="395">
        <v>5966</v>
      </c>
      <c r="H107" s="395">
        <v>2874</v>
      </c>
      <c r="I107" s="395">
        <v>3033</v>
      </c>
      <c r="J107" s="395">
        <v>5907</v>
      </c>
      <c r="K107" t="str">
        <f t="shared" si="1"/>
        <v>Sammichele di Bari</v>
      </c>
    </row>
    <row r="108" spans="1:11">
      <c r="A108" s="394" t="s">
        <v>736</v>
      </c>
      <c r="B108" s="395">
        <v>4925</v>
      </c>
      <c r="C108" s="395">
        <v>4664</v>
      </c>
      <c r="D108" s="395">
        <v>9589</v>
      </c>
      <c r="E108" s="395">
        <v>4867</v>
      </c>
      <c r="F108" s="395">
        <v>4648</v>
      </c>
      <c r="G108" s="395">
        <v>9515</v>
      </c>
      <c r="H108" s="395">
        <v>4891</v>
      </c>
      <c r="I108" s="395">
        <v>4644</v>
      </c>
      <c r="J108" s="395">
        <v>9535</v>
      </c>
      <c r="K108" t="str">
        <f t="shared" si="1"/>
        <v>Sannicandro di Bari</v>
      </c>
    </row>
    <row r="109" spans="1:11">
      <c r="A109" s="394" t="s">
        <v>737</v>
      </c>
      <c r="B109" s="395">
        <v>12711</v>
      </c>
      <c r="C109" s="395">
        <v>13043</v>
      </c>
      <c r="D109" s="395">
        <v>25754</v>
      </c>
      <c r="E109" s="395">
        <v>12707</v>
      </c>
      <c r="F109" s="395">
        <v>13014</v>
      </c>
      <c r="G109" s="395">
        <v>25721</v>
      </c>
      <c r="H109" s="395">
        <v>12657</v>
      </c>
      <c r="I109" s="395">
        <v>12993</v>
      </c>
      <c r="J109" s="395">
        <v>25650</v>
      </c>
      <c r="K109" t="str">
        <f t="shared" si="1"/>
        <v>Santeramo in Colle</v>
      </c>
    </row>
    <row r="110" spans="1:11">
      <c r="A110" s="394" t="s">
        <v>738</v>
      </c>
      <c r="B110" s="395">
        <v>12988</v>
      </c>
      <c r="C110" s="395">
        <v>13156</v>
      </c>
      <c r="D110" s="395">
        <v>26144</v>
      </c>
      <c r="E110" s="395">
        <v>12928</v>
      </c>
      <c r="F110" s="395">
        <v>13085</v>
      </c>
      <c r="G110" s="395">
        <v>26013</v>
      </c>
      <c r="H110" s="395">
        <v>12897</v>
      </c>
      <c r="I110" s="395">
        <v>13031</v>
      </c>
      <c r="J110" s="395">
        <v>25928</v>
      </c>
      <c r="K110" t="str">
        <f t="shared" si="1"/>
        <v>Terlizzi</v>
      </c>
    </row>
    <row r="111" spans="1:11">
      <c r="A111" s="394" t="s">
        <v>739</v>
      </c>
      <c r="B111" s="395">
        <v>3960</v>
      </c>
      <c r="C111" s="395">
        <v>4090</v>
      </c>
      <c r="D111" s="395">
        <v>8050</v>
      </c>
      <c r="E111" s="395">
        <v>3930</v>
      </c>
      <c r="F111" s="395">
        <v>4070</v>
      </c>
      <c r="G111" s="395">
        <v>8000</v>
      </c>
      <c r="H111" s="395">
        <v>3899</v>
      </c>
      <c r="I111" s="395">
        <v>4062</v>
      </c>
      <c r="J111" s="395">
        <v>7961</v>
      </c>
      <c r="K111" t="str">
        <f t="shared" si="1"/>
        <v>Toritto</v>
      </c>
    </row>
    <row r="112" spans="1:11">
      <c r="A112" s="394" t="s">
        <v>740</v>
      </c>
      <c r="B112" s="395">
        <v>12472</v>
      </c>
      <c r="C112" s="395">
        <v>13425</v>
      </c>
      <c r="D112" s="395">
        <v>25897</v>
      </c>
      <c r="E112" s="395">
        <v>12460</v>
      </c>
      <c r="F112" s="395">
        <v>13406</v>
      </c>
      <c r="G112" s="395">
        <v>25866</v>
      </c>
      <c r="H112" s="395">
        <v>12406</v>
      </c>
      <c r="I112" s="395">
        <v>13348</v>
      </c>
      <c r="J112" s="395">
        <v>25754</v>
      </c>
      <c r="K112" t="str">
        <f t="shared" si="1"/>
        <v>Triggiano</v>
      </c>
    </row>
    <row r="113" spans="1:11">
      <c r="A113" s="394" t="s">
        <v>741</v>
      </c>
      <c r="B113" s="395">
        <v>6293</v>
      </c>
      <c r="C113" s="395">
        <v>6688</v>
      </c>
      <c r="D113" s="395">
        <v>12981</v>
      </c>
      <c r="E113" s="395">
        <v>6319</v>
      </c>
      <c r="F113" s="395">
        <v>6683</v>
      </c>
      <c r="G113" s="395">
        <v>13002</v>
      </c>
      <c r="H113" s="395">
        <v>6273</v>
      </c>
      <c r="I113" s="395">
        <v>6682</v>
      </c>
      <c r="J113" s="395">
        <v>12955</v>
      </c>
      <c r="K113" t="str">
        <f t="shared" si="1"/>
        <v>Turi</v>
      </c>
    </row>
    <row r="114" spans="1:11">
      <c r="A114" s="394" t="s">
        <v>742</v>
      </c>
      <c r="B114" s="395">
        <v>8417</v>
      </c>
      <c r="C114" s="395">
        <v>8929</v>
      </c>
      <c r="D114" s="395">
        <v>17346</v>
      </c>
      <c r="E114" s="395">
        <v>8350</v>
      </c>
      <c r="F114" s="395">
        <v>8865</v>
      </c>
      <c r="G114" s="395">
        <v>17215</v>
      </c>
      <c r="H114" s="395">
        <v>8365</v>
      </c>
      <c r="I114" s="395">
        <v>8854</v>
      </c>
      <c r="J114" s="395">
        <v>17219</v>
      </c>
      <c r="K114" t="str">
        <f t="shared" si="1"/>
        <v>Valenzano</v>
      </c>
    </row>
    <row r="115" spans="1:11">
      <c r="A115" s="396" t="s">
        <v>905</v>
      </c>
      <c r="B115" s="395">
        <v>270448</v>
      </c>
      <c r="C115" s="395">
        <v>286244</v>
      </c>
      <c r="D115" s="395">
        <v>556692</v>
      </c>
      <c r="E115" s="395">
        <v>269424</v>
      </c>
      <c r="F115" s="395">
        <v>284077</v>
      </c>
      <c r="G115" s="395">
        <v>553501</v>
      </c>
      <c r="H115" s="395">
        <v>268045</v>
      </c>
      <c r="I115" s="395">
        <v>282001</v>
      </c>
      <c r="J115" s="395">
        <v>550046</v>
      </c>
      <c r="K115" t="str">
        <f t="shared" si="1"/>
        <v>Provincia Taranto</v>
      </c>
    </row>
    <row r="116" spans="1:11">
      <c r="A116" s="394" t="s">
        <v>744</v>
      </c>
      <c r="B116" s="395">
        <v>3006</v>
      </c>
      <c r="C116" s="395">
        <v>3270</v>
      </c>
      <c r="D116" s="395">
        <v>6276</v>
      </c>
      <c r="E116" s="395">
        <v>2971</v>
      </c>
      <c r="F116" s="395">
        <v>3223</v>
      </c>
      <c r="G116" s="395">
        <v>6194</v>
      </c>
      <c r="H116" s="395">
        <v>2969</v>
      </c>
      <c r="I116" s="395">
        <v>3179</v>
      </c>
      <c r="J116" s="395">
        <v>6148</v>
      </c>
      <c r="K116" t="str">
        <f t="shared" si="1"/>
        <v>Avetrana</v>
      </c>
    </row>
    <row r="117" spans="1:11">
      <c r="A117" s="394" t="s">
        <v>745</v>
      </c>
      <c r="B117" s="395">
        <v>3218</v>
      </c>
      <c r="C117" s="395">
        <v>3362</v>
      </c>
      <c r="D117" s="395">
        <v>6580</v>
      </c>
      <c r="E117" s="395">
        <v>3200</v>
      </c>
      <c r="F117" s="395">
        <v>3330</v>
      </c>
      <c r="G117" s="395">
        <v>6530</v>
      </c>
      <c r="H117" s="395">
        <v>3161</v>
      </c>
      <c r="I117" s="395">
        <v>3293</v>
      </c>
      <c r="J117" s="395">
        <v>6454</v>
      </c>
      <c r="K117" t="str">
        <f t="shared" si="1"/>
        <v>Carosino</v>
      </c>
    </row>
    <row r="118" spans="1:11">
      <c r="A118" s="394" t="s">
        <v>746</v>
      </c>
      <c r="B118" s="395">
        <v>7917</v>
      </c>
      <c r="C118" s="395">
        <v>8303</v>
      </c>
      <c r="D118" s="395">
        <v>16220</v>
      </c>
      <c r="E118" s="395">
        <v>7863</v>
      </c>
      <c r="F118" s="395">
        <v>8210</v>
      </c>
      <c r="G118" s="395">
        <v>16073</v>
      </c>
      <c r="H118" s="395">
        <v>7779</v>
      </c>
      <c r="I118" s="395">
        <v>8144</v>
      </c>
      <c r="J118" s="395">
        <v>15923</v>
      </c>
      <c r="K118" t="str">
        <f t="shared" si="1"/>
        <v>Castellaneta</v>
      </c>
    </row>
    <row r="119" spans="1:11">
      <c r="A119" s="394" t="s">
        <v>747</v>
      </c>
      <c r="B119" s="395">
        <v>6474</v>
      </c>
      <c r="C119" s="395">
        <v>6670</v>
      </c>
      <c r="D119" s="395">
        <v>13144</v>
      </c>
      <c r="E119" s="395">
        <v>6430</v>
      </c>
      <c r="F119" s="395">
        <v>6601</v>
      </c>
      <c r="G119" s="395">
        <v>13031</v>
      </c>
      <c r="H119" s="395">
        <v>6383</v>
      </c>
      <c r="I119" s="395">
        <v>6553</v>
      </c>
      <c r="J119" s="395">
        <v>12936</v>
      </c>
      <c r="K119" t="str">
        <f t="shared" si="1"/>
        <v>Crispiano</v>
      </c>
    </row>
    <row r="120" spans="1:11">
      <c r="A120" s="394" t="s">
        <v>748</v>
      </c>
      <c r="B120" s="395">
        <v>1681</v>
      </c>
      <c r="C120" s="395">
        <v>1741</v>
      </c>
      <c r="D120" s="395">
        <v>3422</v>
      </c>
      <c r="E120" s="395">
        <v>1673</v>
      </c>
      <c r="F120" s="395">
        <v>1719</v>
      </c>
      <c r="G120" s="395">
        <v>3392</v>
      </c>
      <c r="H120" s="395">
        <v>1663</v>
      </c>
      <c r="I120" s="395">
        <v>1712</v>
      </c>
      <c r="J120" s="395">
        <v>3375</v>
      </c>
      <c r="K120" t="str">
        <f t="shared" si="1"/>
        <v>Faggiano</v>
      </c>
    </row>
    <row r="121" spans="1:11">
      <c r="A121" s="394" t="s">
        <v>749</v>
      </c>
      <c r="B121" s="395">
        <v>2399</v>
      </c>
      <c r="C121" s="395">
        <v>2571</v>
      </c>
      <c r="D121" s="395">
        <v>4970</v>
      </c>
      <c r="E121" s="395">
        <v>2385</v>
      </c>
      <c r="F121" s="395">
        <v>2567</v>
      </c>
      <c r="G121" s="395">
        <v>4952</v>
      </c>
      <c r="H121" s="395">
        <v>2365</v>
      </c>
      <c r="I121" s="395">
        <v>2558</v>
      </c>
      <c r="J121" s="395">
        <v>4923</v>
      </c>
      <c r="K121" t="str">
        <f t="shared" si="1"/>
        <v>Fragagnano</v>
      </c>
    </row>
    <row r="122" spans="1:11">
      <c r="A122" s="394" t="s">
        <v>750</v>
      </c>
      <c r="B122" s="395">
        <v>10902</v>
      </c>
      <c r="C122" s="395">
        <v>10928</v>
      </c>
      <c r="D122" s="395">
        <v>21830</v>
      </c>
      <c r="E122" s="395">
        <v>10964</v>
      </c>
      <c r="F122" s="395">
        <v>10854</v>
      </c>
      <c r="G122" s="395">
        <v>21818</v>
      </c>
      <c r="H122" s="395">
        <v>10962</v>
      </c>
      <c r="I122" s="395">
        <v>10758</v>
      </c>
      <c r="J122" s="395">
        <v>21720</v>
      </c>
      <c r="K122" t="str">
        <f t="shared" si="1"/>
        <v>Ginosa</v>
      </c>
    </row>
    <row r="123" spans="1:11">
      <c r="A123" s="394" t="s">
        <v>751</v>
      </c>
      <c r="B123" s="395">
        <v>14797</v>
      </c>
      <c r="C123" s="395">
        <v>15815</v>
      </c>
      <c r="D123" s="395">
        <v>30612</v>
      </c>
      <c r="E123" s="395">
        <v>14733</v>
      </c>
      <c r="F123" s="395">
        <v>15739</v>
      </c>
      <c r="G123" s="395">
        <v>30472</v>
      </c>
      <c r="H123" s="395">
        <v>14588</v>
      </c>
      <c r="I123" s="395">
        <v>15584</v>
      </c>
      <c r="J123" s="395">
        <v>30172</v>
      </c>
      <c r="K123" t="str">
        <f t="shared" si="1"/>
        <v>Grottaglie</v>
      </c>
    </row>
    <row r="124" spans="1:11">
      <c r="A124" s="394" t="s">
        <v>752</v>
      </c>
      <c r="B124" s="395">
        <v>7281</v>
      </c>
      <c r="C124" s="395">
        <v>7515</v>
      </c>
      <c r="D124" s="395">
        <v>14796</v>
      </c>
      <c r="E124" s="395">
        <v>7258</v>
      </c>
      <c r="F124" s="395">
        <v>7503</v>
      </c>
      <c r="G124" s="395">
        <v>14761</v>
      </c>
      <c r="H124" s="395">
        <v>7237</v>
      </c>
      <c r="I124" s="395">
        <v>7467</v>
      </c>
      <c r="J124" s="395">
        <v>14704</v>
      </c>
      <c r="K124" t="str">
        <f t="shared" si="1"/>
        <v>Laterza</v>
      </c>
    </row>
    <row r="125" spans="1:11">
      <c r="A125" s="394" t="s">
        <v>753</v>
      </c>
      <c r="B125" s="395">
        <v>4170</v>
      </c>
      <c r="C125" s="395">
        <v>4071</v>
      </c>
      <c r="D125" s="395">
        <v>8241</v>
      </c>
      <c r="E125" s="395">
        <v>4150</v>
      </c>
      <c r="F125" s="395">
        <v>4077</v>
      </c>
      <c r="G125" s="395">
        <v>8227</v>
      </c>
      <c r="H125" s="395">
        <v>4133</v>
      </c>
      <c r="I125" s="395">
        <v>4040</v>
      </c>
      <c r="J125" s="395">
        <v>8173</v>
      </c>
      <c r="K125" t="str">
        <f t="shared" si="1"/>
        <v>Leporano</v>
      </c>
    </row>
    <row r="126" spans="1:11">
      <c r="A126" s="394" t="s">
        <v>754</v>
      </c>
      <c r="B126" s="395">
        <v>4690</v>
      </c>
      <c r="C126" s="395">
        <v>4891</v>
      </c>
      <c r="D126" s="395">
        <v>9581</v>
      </c>
      <c r="E126" s="395">
        <v>4657</v>
      </c>
      <c r="F126" s="395">
        <v>4871</v>
      </c>
      <c r="G126" s="395">
        <v>9528</v>
      </c>
      <c r="H126" s="395">
        <v>4625</v>
      </c>
      <c r="I126" s="395">
        <v>4851</v>
      </c>
      <c r="J126" s="395">
        <v>9476</v>
      </c>
      <c r="K126" t="str">
        <f t="shared" si="1"/>
        <v>Lizzano</v>
      </c>
    </row>
    <row r="127" spans="1:11">
      <c r="A127" s="394" t="s">
        <v>755</v>
      </c>
      <c r="B127" s="395">
        <v>14531</v>
      </c>
      <c r="C127" s="395">
        <v>15410</v>
      </c>
      <c r="D127" s="395">
        <v>29941</v>
      </c>
      <c r="E127" s="395">
        <v>14526</v>
      </c>
      <c r="F127" s="395">
        <v>15284</v>
      </c>
      <c r="G127" s="395">
        <v>29810</v>
      </c>
      <c r="H127" s="395">
        <v>14429</v>
      </c>
      <c r="I127" s="395">
        <v>15194</v>
      </c>
      <c r="J127" s="395">
        <v>29623</v>
      </c>
      <c r="K127" t="str">
        <f t="shared" si="1"/>
        <v>Manduria</v>
      </c>
    </row>
    <row r="128" spans="1:11">
      <c r="A128" s="394" t="s">
        <v>756</v>
      </c>
      <c r="B128" s="395">
        <v>22724</v>
      </c>
      <c r="C128" s="395">
        <v>24343</v>
      </c>
      <c r="D128" s="395">
        <v>47067</v>
      </c>
      <c r="E128" s="395">
        <v>22641</v>
      </c>
      <c r="F128" s="395">
        <v>24208</v>
      </c>
      <c r="G128" s="395">
        <v>46849</v>
      </c>
      <c r="H128" s="395">
        <v>22560</v>
      </c>
      <c r="I128" s="395">
        <v>24141</v>
      </c>
      <c r="J128" s="395">
        <v>46701</v>
      </c>
      <c r="K128" t="str">
        <f t="shared" si="1"/>
        <v>Martina Franca</v>
      </c>
    </row>
    <row r="129" spans="1:11">
      <c r="A129" s="394" t="s">
        <v>757</v>
      </c>
      <c r="B129" s="395">
        <v>2618</v>
      </c>
      <c r="C129" s="395">
        <v>2638</v>
      </c>
      <c r="D129" s="395">
        <v>5256</v>
      </c>
      <c r="E129" s="395">
        <v>2615</v>
      </c>
      <c r="F129" s="395">
        <v>2620</v>
      </c>
      <c r="G129" s="395">
        <v>5235</v>
      </c>
      <c r="H129" s="395">
        <v>2605</v>
      </c>
      <c r="I129" s="395">
        <v>2581</v>
      </c>
      <c r="J129" s="395">
        <v>5186</v>
      </c>
      <c r="K129" t="str">
        <f t="shared" si="1"/>
        <v>Maruggio</v>
      </c>
    </row>
    <row r="130" spans="1:11">
      <c r="A130" s="394" t="s">
        <v>758</v>
      </c>
      <c r="B130" s="395">
        <v>15886</v>
      </c>
      <c r="C130" s="395">
        <v>16130</v>
      </c>
      <c r="D130" s="395">
        <v>32016</v>
      </c>
      <c r="E130" s="395">
        <v>15908</v>
      </c>
      <c r="F130" s="395">
        <v>16058</v>
      </c>
      <c r="G130" s="395">
        <v>31966</v>
      </c>
      <c r="H130" s="395">
        <v>15869</v>
      </c>
      <c r="I130" s="395">
        <v>15943</v>
      </c>
      <c r="J130" s="395">
        <v>31812</v>
      </c>
      <c r="K130" t="str">
        <f t="shared" si="1"/>
        <v>Massafra</v>
      </c>
    </row>
    <row r="131" spans="1:11">
      <c r="A131" s="394" t="s">
        <v>759</v>
      </c>
      <c r="B131" s="395">
        <v>2580</v>
      </c>
      <c r="C131" s="395">
        <v>2759</v>
      </c>
      <c r="D131" s="395">
        <v>5339</v>
      </c>
      <c r="E131" s="395">
        <v>2548</v>
      </c>
      <c r="F131" s="395">
        <v>2733</v>
      </c>
      <c r="G131" s="395">
        <v>5281</v>
      </c>
      <c r="H131" s="395">
        <v>2516</v>
      </c>
      <c r="I131" s="395">
        <v>2694</v>
      </c>
      <c r="J131" s="395">
        <v>5210</v>
      </c>
      <c r="K131" t="str">
        <f t="shared" si="1"/>
        <v>Monteiasi</v>
      </c>
    </row>
    <row r="132" spans="1:11">
      <c r="A132" s="394" t="s">
        <v>760</v>
      </c>
      <c r="B132" s="395">
        <v>1736</v>
      </c>
      <c r="C132" s="395">
        <v>1825</v>
      </c>
      <c r="D132" s="395">
        <v>3561</v>
      </c>
      <c r="E132" s="395">
        <v>1709</v>
      </c>
      <c r="F132" s="395">
        <v>1803</v>
      </c>
      <c r="G132" s="395">
        <v>3512</v>
      </c>
      <c r="H132" s="395">
        <v>1697</v>
      </c>
      <c r="I132" s="395">
        <v>1776</v>
      </c>
      <c r="J132" s="395">
        <v>3473</v>
      </c>
      <c r="K132" t="str">
        <f t="shared" si="1"/>
        <v>Montemesola</v>
      </c>
    </row>
    <row r="133" spans="1:11">
      <c r="A133" s="394" t="s">
        <v>761</v>
      </c>
      <c r="B133" s="395">
        <v>1115</v>
      </c>
      <c r="C133" s="395">
        <v>1200</v>
      </c>
      <c r="D133" s="395">
        <v>2315</v>
      </c>
      <c r="E133" s="395">
        <v>1117</v>
      </c>
      <c r="F133" s="395">
        <v>1178</v>
      </c>
      <c r="G133" s="395">
        <v>2295</v>
      </c>
      <c r="H133" s="395">
        <v>1100</v>
      </c>
      <c r="I133" s="395">
        <v>1160</v>
      </c>
      <c r="J133" s="395">
        <v>2260</v>
      </c>
      <c r="K133" t="str">
        <f t="shared" si="1"/>
        <v>Monteparano</v>
      </c>
    </row>
    <row r="134" spans="1:11">
      <c r="A134" s="394" t="s">
        <v>762</v>
      </c>
      <c r="B134" s="395">
        <v>7466</v>
      </c>
      <c r="C134" s="395">
        <v>7851</v>
      </c>
      <c r="D134" s="395">
        <v>15317</v>
      </c>
      <c r="E134" s="395">
        <v>7420</v>
      </c>
      <c r="F134" s="395">
        <v>7808</v>
      </c>
      <c r="G134" s="395">
        <v>15228</v>
      </c>
      <c r="H134" s="395">
        <v>7360</v>
      </c>
      <c r="I134" s="395">
        <v>7759</v>
      </c>
      <c r="J134" s="395">
        <v>15119</v>
      </c>
      <c r="K134" t="str">
        <f t="shared" si="1"/>
        <v>Mottola</v>
      </c>
    </row>
    <row r="135" spans="1:11">
      <c r="A135" s="394" t="s">
        <v>763</v>
      </c>
      <c r="B135" s="395">
        <v>3688</v>
      </c>
      <c r="C135" s="395">
        <v>3902</v>
      </c>
      <c r="D135" s="395">
        <v>7590</v>
      </c>
      <c r="E135" s="395">
        <v>3669</v>
      </c>
      <c r="F135" s="395">
        <v>3874</v>
      </c>
      <c r="G135" s="395">
        <v>7543</v>
      </c>
      <c r="H135" s="395">
        <v>3645</v>
      </c>
      <c r="I135" s="395">
        <v>3848</v>
      </c>
      <c r="J135" s="395">
        <v>7493</v>
      </c>
      <c r="K135" t="str">
        <f t="shared" si="1"/>
        <v>Palagianello</v>
      </c>
    </row>
    <row r="136" spans="1:11">
      <c r="A136" s="394" t="s">
        <v>764</v>
      </c>
      <c r="B136" s="395">
        <v>7897</v>
      </c>
      <c r="C136" s="395">
        <v>7889</v>
      </c>
      <c r="D136" s="395">
        <v>15786</v>
      </c>
      <c r="E136" s="395">
        <v>7889</v>
      </c>
      <c r="F136" s="395">
        <v>7835</v>
      </c>
      <c r="G136" s="395">
        <v>15724</v>
      </c>
      <c r="H136" s="395">
        <v>7888</v>
      </c>
      <c r="I136" s="395">
        <v>7793</v>
      </c>
      <c r="J136" s="395">
        <v>15681</v>
      </c>
      <c r="K136" t="str">
        <f t="shared" si="1"/>
        <v>Palagiano</v>
      </c>
    </row>
    <row r="137" spans="1:11">
      <c r="A137" s="394" t="s">
        <v>765</v>
      </c>
      <c r="B137" s="395">
        <v>5502</v>
      </c>
      <c r="C137" s="395">
        <v>5640</v>
      </c>
      <c r="D137" s="395">
        <v>11142</v>
      </c>
      <c r="E137" s="395">
        <v>5544</v>
      </c>
      <c r="F137" s="395">
        <v>5658</v>
      </c>
      <c r="G137" s="395">
        <v>11202</v>
      </c>
      <c r="H137" s="395">
        <v>5543</v>
      </c>
      <c r="I137" s="395">
        <v>5631</v>
      </c>
      <c r="J137" s="395">
        <v>11174</v>
      </c>
      <c r="K137" t="str">
        <f t="shared" si="1"/>
        <v>Pulsano</v>
      </c>
    </row>
    <row r="138" spans="1:11">
      <c r="A138" s="394" t="s">
        <v>766</v>
      </c>
      <c r="B138" s="395">
        <v>868</v>
      </c>
      <c r="C138" s="395">
        <v>897</v>
      </c>
      <c r="D138" s="395">
        <v>1765</v>
      </c>
      <c r="E138" s="395">
        <v>858</v>
      </c>
      <c r="F138" s="395">
        <v>900</v>
      </c>
      <c r="G138" s="395">
        <v>1758</v>
      </c>
      <c r="H138" s="395">
        <v>854</v>
      </c>
      <c r="I138" s="395">
        <v>903</v>
      </c>
      <c r="J138" s="395">
        <v>1757</v>
      </c>
      <c r="K138" t="str">
        <f t="shared" si="1"/>
        <v>Roccaforzata</v>
      </c>
    </row>
    <row r="139" spans="1:11">
      <c r="A139" s="394" t="s">
        <v>767</v>
      </c>
      <c r="B139" s="395">
        <v>6885</v>
      </c>
      <c r="C139" s="395">
        <v>7368</v>
      </c>
      <c r="D139" s="395">
        <v>14253</v>
      </c>
      <c r="E139" s="395">
        <v>6790</v>
      </c>
      <c r="F139" s="395">
        <v>7272</v>
      </c>
      <c r="G139" s="395">
        <v>14062</v>
      </c>
      <c r="H139" s="395">
        <v>6719</v>
      </c>
      <c r="I139" s="395">
        <v>7250</v>
      </c>
      <c r="J139" s="395">
        <v>13969</v>
      </c>
      <c r="K139" t="str">
        <f t="shared" ref="K139:K202" si="2">TRIM(A139)</f>
        <v>San Giorgio Ionico</v>
      </c>
    </row>
    <row r="140" spans="1:11" ht="25.5">
      <c r="A140" s="394" t="s">
        <v>768</v>
      </c>
      <c r="B140" s="395">
        <v>4444</v>
      </c>
      <c r="C140" s="395">
        <v>4444</v>
      </c>
      <c r="D140" s="395">
        <v>8888</v>
      </c>
      <c r="E140" s="395">
        <v>4439</v>
      </c>
      <c r="F140" s="395">
        <v>4435</v>
      </c>
      <c r="G140" s="395">
        <v>8874</v>
      </c>
      <c r="H140" s="395">
        <v>4406</v>
      </c>
      <c r="I140" s="395">
        <v>4423</v>
      </c>
      <c r="J140" s="395">
        <v>8829</v>
      </c>
      <c r="K140" t="str">
        <f t="shared" si="2"/>
        <v>San Marzano di San Giuseppe</v>
      </c>
    </row>
    <row r="141" spans="1:11">
      <c r="A141" s="394" t="s">
        <v>769</v>
      </c>
      <c r="B141" s="395">
        <v>7457</v>
      </c>
      <c r="C141" s="395">
        <v>7922</v>
      </c>
      <c r="D141" s="395">
        <v>15379</v>
      </c>
      <c r="E141" s="395">
        <v>7423</v>
      </c>
      <c r="F141" s="395">
        <v>7839</v>
      </c>
      <c r="G141" s="395">
        <v>15262</v>
      </c>
      <c r="H141" s="395">
        <v>7386</v>
      </c>
      <c r="I141" s="395">
        <v>7770</v>
      </c>
      <c r="J141" s="395">
        <v>15156</v>
      </c>
      <c r="K141" t="str">
        <f t="shared" si="2"/>
        <v>Sava</v>
      </c>
    </row>
    <row r="142" spans="1:11">
      <c r="A142" s="394" t="s">
        <v>770</v>
      </c>
      <c r="B142" s="395">
        <v>6290</v>
      </c>
      <c r="C142" s="395">
        <v>6667</v>
      </c>
      <c r="D142" s="395">
        <v>12957</v>
      </c>
      <c r="E142" s="395">
        <v>6205</v>
      </c>
      <c r="F142" s="395">
        <v>6582</v>
      </c>
      <c r="G142" s="395">
        <v>12787</v>
      </c>
      <c r="H142" s="395">
        <v>6124</v>
      </c>
      <c r="I142" s="395">
        <v>6482</v>
      </c>
      <c r="J142" s="395">
        <v>12606</v>
      </c>
      <c r="K142" t="str">
        <f t="shared" si="2"/>
        <v>Statte</v>
      </c>
    </row>
    <row r="143" spans="1:11">
      <c r="A143" s="394" t="s">
        <v>743</v>
      </c>
      <c r="B143" s="395">
        <v>90160</v>
      </c>
      <c r="C143" s="395">
        <v>98150</v>
      </c>
      <c r="D143" s="395">
        <v>188310</v>
      </c>
      <c r="E143" s="395">
        <v>89792</v>
      </c>
      <c r="F143" s="395">
        <v>97233</v>
      </c>
      <c r="G143" s="395">
        <v>187025</v>
      </c>
      <c r="H143" s="395">
        <v>89447</v>
      </c>
      <c r="I143" s="395">
        <v>96462</v>
      </c>
      <c r="J143" s="395">
        <v>185909</v>
      </c>
      <c r="K143" t="str">
        <f t="shared" si="2"/>
        <v>Taranto</v>
      </c>
    </row>
    <row r="144" spans="1:11">
      <c r="A144" s="394" t="s">
        <v>771</v>
      </c>
      <c r="B144" s="395">
        <v>2066</v>
      </c>
      <c r="C144" s="395">
        <v>2072</v>
      </c>
      <c r="D144" s="395">
        <v>4138</v>
      </c>
      <c r="E144" s="395">
        <v>2047</v>
      </c>
      <c r="F144" s="395">
        <v>2063</v>
      </c>
      <c r="G144" s="395">
        <v>4110</v>
      </c>
      <c r="H144" s="395">
        <v>2032</v>
      </c>
      <c r="I144" s="395">
        <v>2052</v>
      </c>
      <c r="J144" s="395">
        <v>4084</v>
      </c>
      <c r="K144" t="str">
        <f t="shared" si="2"/>
        <v>Torricella</v>
      </c>
    </row>
    <row r="145" spans="1:11">
      <c r="A145" s="396" t="s">
        <v>902</v>
      </c>
      <c r="B145" s="395">
        <v>183723</v>
      </c>
      <c r="C145" s="395">
        <v>195799</v>
      </c>
      <c r="D145" s="395">
        <v>379522</v>
      </c>
      <c r="E145" s="395">
        <v>182788</v>
      </c>
      <c r="F145" s="395">
        <v>194452</v>
      </c>
      <c r="G145" s="395">
        <v>377240</v>
      </c>
      <c r="H145" s="395">
        <v>182057</v>
      </c>
      <c r="I145" s="395">
        <v>193229</v>
      </c>
      <c r="J145" s="395">
        <v>375286</v>
      </c>
      <c r="K145" t="str">
        <f t="shared" si="2"/>
        <v>Provincia Brindisi</v>
      </c>
    </row>
    <row r="146" spans="1:11">
      <c r="A146" s="394" t="s">
        <v>772</v>
      </c>
      <c r="B146" s="395">
        <v>39860</v>
      </c>
      <c r="C146" s="395">
        <v>43023</v>
      </c>
      <c r="D146" s="395">
        <v>82883</v>
      </c>
      <c r="E146" s="395">
        <v>39555</v>
      </c>
      <c r="F146" s="395">
        <v>42743</v>
      </c>
      <c r="G146" s="395">
        <v>82298</v>
      </c>
      <c r="H146" s="395">
        <v>39268</v>
      </c>
      <c r="I146" s="395">
        <v>42396</v>
      </c>
      <c r="J146" s="395">
        <v>81664</v>
      </c>
      <c r="K146" t="str">
        <f t="shared" si="2"/>
        <v>Brindisi</v>
      </c>
    </row>
    <row r="147" spans="1:11">
      <c r="A147" s="394" t="s">
        <v>773</v>
      </c>
      <c r="B147" s="395">
        <v>8510</v>
      </c>
      <c r="C147" s="395">
        <v>8454</v>
      </c>
      <c r="D147" s="395">
        <v>16964</v>
      </c>
      <c r="E147" s="395">
        <v>8503</v>
      </c>
      <c r="F147" s="395">
        <v>8440</v>
      </c>
      <c r="G147" s="395">
        <v>16943</v>
      </c>
      <c r="H147" s="395">
        <v>8601</v>
      </c>
      <c r="I147" s="395">
        <v>8382</v>
      </c>
      <c r="J147" s="395">
        <v>16983</v>
      </c>
      <c r="K147" t="str">
        <f t="shared" si="2"/>
        <v>Carovigno</v>
      </c>
    </row>
    <row r="148" spans="1:11">
      <c r="A148" s="394" t="s">
        <v>774</v>
      </c>
      <c r="B148" s="395">
        <v>8965</v>
      </c>
      <c r="C148" s="395">
        <v>9736</v>
      </c>
      <c r="D148" s="395">
        <v>18701</v>
      </c>
      <c r="E148" s="395">
        <v>8934</v>
      </c>
      <c r="F148" s="395">
        <v>9702</v>
      </c>
      <c r="G148" s="395">
        <v>18636</v>
      </c>
      <c r="H148" s="395">
        <v>8872</v>
      </c>
      <c r="I148" s="395">
        <v>9631</v>
      </c>
      <c r="J148" s="395">
        <v>18503</v>
      </c>
      <c r="K148" t="str">
        <f t="shared" si="2"/>
        <v>Ceglie Messapica</v>
      </c>
    </row>
    <row r="149" spans="1:11">
      <c r="A149" s="394" t="s">
        <v>775</v>
      </c>
      <c r="B149" s="395">
        <v>2900</v>
      </c>
      <c r="C149" s="395">
        <v>3197</v>
      </c>
      <c r="D149" s="395">
        <v>6097</v>
      </c>
      <c r="E149" s="395">
        <v>2867</v>
      </c>
      <c r="F149" s="395">
        <v>3156</v>
      </c>
      <c r="G149" s="395">
        <v>6023</v>
      </c>
      <c r="H149" s="395">
        <v>2836</v>
      </c>
      <c r="I149" s="395">
        <v>3119</v>
      </c>
      <c r="J149" s="395">
        <v>5955</v>
      </c>
      <c r="K149" t="str">
        <f t="shared" si="2"/>
        <v>Cellino San Marco</v>
      </c>
    </row>
    <row r="150" spans="1:11">
      <c r="A150" s="394" t="s">
        <v>776</v>
      </c>
      <c r="B150" s="395">
        <v>5350</v>
      </c>
      <c r="C150" s="395">
        <v>5809</v>
      </c>
      <c r="D150" s="395">
        <v>11159</v>
      </c>
      <c r="E150" s="395">
        <v>5319</v>
      </c>
      <c r="F150" s="395">
        <v>5776</v>
      </c>
      <c r="G150" s="395">
        <v>11095</v>
      </c>
      <c r="H150" s="395">
        <v>5294</v>
      </c>
      <c r="I150" s="395">
        <v>5741</v>
      </c>
      <c r="J150" s="395">
        <v>11035</v>
      </c>
      <c r="K150" t="str">
        <f t="shared" si="2"/>
        <v>Cisternino</v>
      </c>
    </row>
    <row r="151" spans="1:11">
      <c r="A151" s="394" t="s">
        <v>777</v>
      </c>
      <c r="B151" s="395">
        <v>4008</v>
      </c>
      <c r="C151" s="395">
        <v>4223</v>
      </c>
      <c r="D151" s="395">
        <v>8231</v>
      </c>
      <c r="E151" s="395">
        <v>3980</v>
      </c>
      <c r="F151" s="395">
        <v>4193</v>
      </c>
      <c r="G151" s="395">
        <v>8173</v>
      </c>
      <c r="H151" s="395">
        <v>3954</v>
      </c>
      <c r="I151" s="395">
        <v>4161</v>
      </c>
      <c r="J151" s="395">
        <v>8115</v>
      </c>
      <c r="K151" t="str">
        <f t="shared" si="2"/>
        <v>Erchie</v>
      </c>
    </row>
    <row r="152" spans="1:11">
      <c r="A152" s="394" t="s">
        <v>778</v>
      </c>
      <c r="B152" s="395">
        <v>18937</v>
      </c>
      <c r="C152" s="395">
        <v>19878</v>
      </c>
      <c r="D152" s="395">
        <v>38815</v>
      </c>
      <c r="E152" s="395">
        <v>18919</v>
      </c>
      <c r="F152" s="395">
        <v>19805</v>
      </c>
      <c r="G152" s="395">
        <v>38724</v>
      </c>
      <c r="H152" s="395">
        <v>19021</v>
      </c>
      <c r="I152" s="395">
        <v>19792</v>
      </c>
      <c r="J152" s="395">
        <v>38813</v>
      </c>
      <c r="K152" t="str">
        <f t="shared" si="2"/>
        <v>Fasano</v>
      </c>
    </row>
    <row r="153" spans="1:11">
      <c r="A153" s="394" t="s">
        <v>779</v>
      </c>
      <c r="B153" s="395">
        <v>16965</v>
      </c>
      <c r="C153" s="395">
        <v>18041</v>
      </c>
      <c r="D153" s="395">
        <v>35006</v>
      </c>
      <c r="E153" s="395">
        <v>16851</v>
      </c>
      <c r="F153" s="395">
        <v>17908</v>
      </c>
      <c r="G153" s="395">
        <v>34759</v>
      </c>
      <c r="H153" s="395">
        <v>16721</v>
      </c>
      <c r="I153" s="395">
        <v>17791</v>
      </c>
      <c r="J153" s="395">
        <v>34512</v>
      </c>
      <c r="K153" t="str">
        <f t="shared" si="2"/>
        <v>Francavilla Fontana</v>
      </c>
    </row>
    <row r="154" spans="1:11">
      <c r="A154" s="394" t="s">
        <v>780</v>
      </c>
      <c r="B154" s="395">
        <v>6611</v>
      </c>
      <c r="C154" s="395">
        <v>6978</v>
      </c>
      <c r="D154" s="395">
        <v>13589</v>
      </c>
      <c r="E154" s="395">
        <v>6547</v>
      </c>
      <c r="F154" s="395">
        <v>6914</v>
      </c>
      <c r="G154" s="395">
        <v>13461</v>
      </c>
      <c r="H154" s="395">
        <v>6480</v>
      </c>
      <c r="I154" s="395">
        <v>6878</v>
      </c>
      <c r="J154" s="395">
        <v>13358</v>
      </c>
      <c r="K154" t="str">
        <f t="shared" si="2"/>
        <v>Latiano</v>
      </c>
    </row>
    <row r="155" spans="1:11">
      <c r="A155" s="394" t="s">
        <v>781</v>
      </c>
      <c r="B155" s="395">
        <v>12586</v>
      </c>
      <c r="C155" s="395">
        <v>13593</v>
      </c>
      <c r="D155" s="395">
        <v>26179</v>
      </c>
      <c r="E155" s="395">
        <v>12532</v>
      </c>
      <c r="F155" s="395">
        <v>13545</v>
      </c>
      <c r="G155" s="395">
        <v>26077</v>
      </c>
      <c r="H155" s="395">
        <v>12468</v>
      </c>
      <c r="I155" s="395">
        <v>13440</v>
      </c>
      <c r="J155" s="395">
        <v>25908</v>
      </c>
      <c r="K155" t="str">
        <f t="shared" si="2"/>
        <v>Mesagne</v>
      </c>
    </row>
    <row r="156" spans="1:11">
      <c r="A156" s="394" t="s">
        <v>782</v>
      </c>
      <c r="B156" s="395">
        <v>7015</v>
      </c>
      <c r="C156" s="395">
        <v>7515</v>
      </c>
      <c r="D156" s="395">
        <v>14530</v>
      </c>
      <c r="E156" s="395">
        <v>6972</v>
      </c>
      <c r="F156" s="395">
        <v>7483</v>
      </c>
      <c r="G156" s="395">
        <v>14455</v>
      </c>
      <c r="H156" s="395">
        <v>6929</v>
      </c>
      <c r="I156" s="395">
        <v>7429</v>
      </c>
      <c r="J156" s="395">
        <v>14358</v>
      </c>
      <c r="K156" t="str">
        <f t="shared" si="2"/>
        <v>Oria</v>
      </c>
    </row>
    <row r="157" spans="1:11">
      <c r="A157" s="394" t="s">
        <v>783</v>
      </c>
      <c r="B157" s="395">
        <v>14485</v>
      </c>
      <c r="C157" s="395">
        <v>15686</v>
      </c>
      <c r="D157" s="395">
        <v>30171</v>
      </c>
      <c r="E157" s="395">
        <v>14390</v>
      </c>
      <c r="F157" s="395">
        <v>15552</v>
      </c>
      <c r="G157" s="395">
        <v>29942</v>
      </c>
      <c r="H157" s="395">
        <v>14378</v>
      </c>
      <c r="I157" s="395">
        <v>15494</v>
      </c>
      <c r="J157" s="395">
        <v>29872</v>
      </c>
      <c r="K157" t="str">
        <f t="shared" si="2"/>
        <v>Ostuni</v>
      </c>
    </row>
    <row r="158" spans="1:11">
      <c r="A158" s="394" t="s">
        <v>784</v>
      </c>
      <c r="B158" s="395">
        <v>3001</v>
      </c>
      <c r="C158" s="395">
        <v>3183</v>
      </c>
      <c r="D158" s="395">
        <v>6184</v>
      </c>
      <c r="E158" s="395">
        <v>2984</v>
      </c>
      <c r="F158" s="395">
        <v>3170</v>
      </c>
      <c r="G158" s="395">
        <v>6154</v>
      </c>
      <c r="H158" s="395">
        <v>2954</v>
      </c>
      <c r="I158" s="395">
        <v>3125</v>
      </c>
      <c r="J158" s="395">
        <v>6079</v>
      </c>
      <c r="K158" t="str">
        <f t="shared" si="2"/>
        <v>San Donaci</v>
      </c>
    </row>
    <row r="159" spans="1:11">
      <c r="A159" s="394" t="s">
        <v>785</v>
      </c>
      <c r="B159" s="395">
        <v>2989</v>
      </c>
      <c r="C159" s="395">
        <v>3100</v>
      </c>
      <c r="D159" s="395">
        <v>6089</v>
      </c>
      <c r="E159" s="395">
        <v>2979</v>
      </c>
      <c r="F159" s="395">
        <v>3100</v>
      </c>
      <c r="G159" s="395">
        <v>6079</v>
      </c>
      <c r="H159" s="395">
        <v>2959</v>
      </c>
      <c r="I159" s="395">
        <v>3088</v>
      </c>
      <c r="J159" s="395">
        <v>6047</v>
      </c>
      <c r="K159" t="str">
        <f t="shared" si="2"/>
        <v>San Michele Salentino</v>
      </c>
    </row>
    <row r="160" spans="1:11">
      <c r="A160" s="394" t="s">
        <v>786</v>
      </c>
      <c r="B160" s="395">
        <v>4485</v>
      </c>
      <c r="C160" s="395">
        <v>4820</v>
      </c>
      <c r="D160" s="395">
        <v>9305</v>
      </c>
      <c r="E160" s="395">
        <v>4412</v>
      </c>
      <c r="F160" s="395">
        <v>4718</v>
      </c>
      <c r="G160" s="395">
        <v>9130</v>
      </c>
      <c r="H160" s="395">
        <v>4364</v>
      </c>
      <c r="I160" s="395">
        <v>4663</v>
      </c>
      <c r="J160" s="395">
        <v>9027</v>
      </c>
      <c r="K160" t="str">
        <f t="shared" si="2"/>
        <v>San Pancrazio Salentino</v>
      </c>
    </row>
    <row r="161" spans="1:11">
      <c r="A161" s="394" t="s">
        <v>787</v>
      </c>
      <c r="B161" s="395">
        <v>6243</v>
      </c>
      <c r="C161" s="395">
        <v>6785</v>
      </c>
      <c r="D161" s="395">
        <v>13028</v>
      </c>
      <c r="E161" s="395">
        <v>6283</v>
      </c>
      <c r="F161" s="395">
        <v>6730</v>
      </c>
      <c r="G161" s="395">
        <v>13013</v>
      </c>
      <c r="H161" s="395">
        <v>6239</v>
      </c>
      <c r="I161" s="395">
        <v>6665</v>
      </c>
      <c r="J161" s="395">
        <v>12904</v>
      </c>
      <c r="K161" t="str">
        <f t="shared" si="2"/>
        <v>San Pietro Vernotico</v>
      </c>
    </row>
    <row r="162" spans="1:11">
      <c r="A162" s="394" t="s">
        <v>788</v>
      </c>
      <c r="B162" s="395">
        <v>8731</v>
      </c>
      <c r="C162" s="395">
        <v>9381</v>
      </c>
      <c r="D162" s="395">
        <v>18112</v>
      </c>
      <c r="E162" s="395">
        <v>8687</v>
      </c>
      <c r="F162" s="395">
        <v>9244</v>
      </c>
      <c r="G162" s="395">
        <v>17931</v>
      </c>
      <c r="H162" s="395">
        <v>8644</v>
      </c>
      <c r="I162" s="395">
        <v>9198</v>
      </c>
      <c r="J162" s="395">
        <v>17842</v>
      </c>
      <c r="K162" t="str">
        <f t="shared" si="2"/>
        <v>San Vito dei Normanni</v>
      </c>
    </row>
    <row r="163" spans="1:11">
      <c r="A163" s="394" t="s">
        <v>789</v>
      </c>
      <c r="B163" s="395">
        <v>2616</v>
      </c>
      <c r="C163" s="395">
        <v>2658</v>
      </c>
      <c r="D163" s="395">
        <v>5274</v>
      </c>
      <c r="E163" s="395">
        <v>2626</v>
      </c>
      <c r="F163" s="395">
        <v>2654</v>
      </c>
      <c r="G163" s="395">
        <v>5280</v>
      </c>
      <c r="H163" s="395">
        <v>2636</v>
      </c>
      <c r="I163" s="395">
        <v>2662</v>
      </c>
      <c r="J163" s="395">
        <v>5298</v>
      </c>
      <c r="K163" t="str">
        <f t="shared" si="2"/>
        <v>Torchiarolo</v>
      </c>
    </row>
    <row r="164" spans="1:11">
      <c r="A164" s="394" t="s">
        <v>790</v>
      </c>
      <c r="B164" s="395">
        <v>4958</v>
      </c>
      <c r="C164" s="395">
        <v>5180</v>
      </c>
      <c r="D164" s="395">
        <v>10138</v>
      </c>
      <c r="E164" s="395">
        <v>4965</v>
      </c>
      <c r="F164" s="395">
        <v>5129</v>
      </c>
      <c r="G164" s="395">
        <v>10094</v>
      </c>
      <c r="H164" s="395">
        <v>4950</v>
      </c>
      <c r="I164" s="395">
        <v>5106</v>
      </c>
      <c r="J164" s="395">
        <v>10056</v>
      </c>
      <c r="K164" t="str">
        <f t="shared" si="2"/>
        <v>Torre Santa Susanna</v>
      </c>
    </row>
    <row r="165" spans="1:11">
      <c r="A165" s="394" t="s">
        <v>791</v>
      </c>
      <c r="B165" s="395">
        <v>4508</v>
      </c>
      <c r="C165" s="395">
        <v>4559</v>
      </c>
      <c r="D165" s="395">
        <v>9067</v>
      </c>
      <c r="E165" s="395">
        <v>4483</v>
      </c>
      <c r="F165" s="395">
        <v>4490</v>
      </c>
      <c r="G165" s="395">
        <v>8973</v>
      </c>
      <c r="H165" s="395">
        <v>4489</v>
      </c>
      <c r="I165" s="395">
        <v>4468</v>
      </c>
      <c r="J165" s="395">
        <v>8957</v>
      </c>
      <c r="K165" t="str">
        <f t="shared" si="2"/>
        <v>Villa Castelli</v>
      </c>
    </row>
    <row r="166" spans="1:11">
      <c r="A166" s="396" t="s">
        <v>903</v>
      </c>
      <c r="B166" s="395">
        <v>371083</v>
      </c>
      <c r="C166" s="395">
        <v>400147</v>
      </c>
      <c r="D166" s="395">
        <v>771230</v>
      </c>
      <c r="E166" s="395">
        <v>369602</v>
      </c>
      <c r="F166" s="395">
        <v>397629</v>
      </c>
      <c r="G166" s="395">
        <v>767231</v>
      </c>
      <c r="H166" s="395">
        <v>368453</v>
      </c>
      <c r="I166" s="395">
        <v>395325</v>
      </c>
      <c r="J166" s="395">
        <v>763778</v>
      </c>
      <c r="K166" t="str">
        <f t="shared" si="2"/>
        <v>Provincia Lecce</v>
      </c>
    </row>
    <row r="167" spans="1:11">
      <c r="A167" s="394" t="s">
        <v>793</v>
      </c>
      <c r="B167" s="395">
        <v>2919</v>
      </c>
      <c r="C167" s="395">
        <v>3125</v>
      </c>
      <c r="D167" s="395">
        <v>6044</v>
      </c>
      <c r="E167" s="395">
        <v>2923</v>
      </c>
      <c r="F167" s="395">
        <v>3115</v>
      </c>
      <c r="G167" s="395">
        <v>6038</v>
      </c>
      <c r="H167" s="395">
        <v>2900</v>
      </c>
      <c r="I167" s="395">
        <v>3081</v>
      </c>
      <c r="J167" s="395">
        <v>5981</v>
      </c>
      <c r="K167" t="str">
        <f t="shared" si="2"/>
        <v>Alessano</v>
      </c>
    </row>
    <row r="168" spans="1:11">
      <c r="A168" s="394" t="s">
        <v>794</v>
      </c>
      <c r="B168" s="395">
        <v>2687</v>
      </c>
      <c r="C168" s="395">
        <v>2955</v>
      </c>
      <c r="D168" s="395">
        <v>5642</v>
      </c>
      <c r="E168" s="395">
        <v>2706</v>
      </c>
      <c r="F168" s="395">
        <v>2964</v>
      </c>
      <c r="G168" s="395">
        <v>5670</v>
      </c>
      <c r="H168" s="395">
        <v>2697</v>
      </c>
      <c r="I168" s="395">
        <v>2965</v>
      </c>
      <c r="J168" s="395">
        <v>5662</v>
      </c>
      <c r="K168" t="str">
        <f t="shared" si="2"/>
        <v>Alezio</v>
      </c>
    </row>
    <row r="169" spans="1:11">
      <c r="A169" s="394" t="s">
        <v>795</v>
      </c>
      <c r="B169" s="395">
        <v>3097</v>
      </c>
      <c r="C169" s="395">
        <v>3328</v>
      </c>
      <c r="D169" s="395">
        <v>6425</v>
      </c>
      <c r="E169" s="395">
        <v>3094</v>
      </c>
      <c r="F169" s="395">
        <v>3325</v>
      </c>
      <c r="G169" s="395">
        <v>6419</v>
      </c>
      <c r="H169" s="395">
        <v>3084</v>
      </c>
      <c r="I169" s="395">
        <v>3315</v>
      </c>
      <c r="J169" s="395">
        <v>6399</v>
      </c>
      <c r="K169" t="str">
        <f t="shared" si="2"/>
        <v>Alliste</v>
      </c>
    </row>
    <row r="170" spans="1:11">
      <c r="A170" s="394" t="s">
        <v>796</v>
      </c>
      <c r="B170" s="395">
        <v>2185</v>
      </c>
      <c r="C170" s="395">
        <v>2362</v>
      </c>
      <c r="D170" s="395">
        <v>4547</v>
      </c>
      <c r="E170" s="395">
        <v>2172</v>
      </c>
      <c r="F170" s="395">
        <v>2329</v>
      </c>
      <c r="G170" s="395">
        <v>4501</v>
      </c>
      <c r="H170" s="395">
        <v>2144</v>
      </c>
      <c r="I170" s="395">
        <v>2285</v>
      </c>
      <c r="J170" s="395">
        <v>4429</v>
      </c>
      <c r="K170" t="str">
        <f t="shared" si="2"/>
        <v>Andrano</v>
      </c>
    </row>
    <row r="171" spans="1:11">
      <c r="A171" s="394" t="s">
        <v>797</v>
      </c>
      <c r="B171" s="395">
        <v>4272</v>
      </c>
      <c r="C171" s="395">
        <v>4620</v>
      </c>
      <c r="D171" s="395">
        <v>8892</v>
      </c>
      <c r="E171" s="395">
        <v>4262</v>
      </c>
      <c r="F171" s="395">
        <v>4601</v>
      </c>
      <c r="G171" s="395">
        <v>8863</v>
      </c>
      <c r="H171" s="395">
        <v>4250</v>
      </c>
      <c r="I171" s="395">
        <v>4574</v>
      </c>
      <c r="J171" s="395">
        <v>8824</v>
      </c>
      <c r="K171" t="str">
        <f t="shared" si="2"/>
        <v>Aradeo</v>
      </c>
    </row>
    <row r="172" spans="1:11">
      <c r="A172" s="394" t="s">
        <v>798</v>
      </c>
      <c r="B172" s="395">
        <v>1969</v>
      </c>
      <c r="C172" s="395">
        <v>1959</v>
      </c>
      <c r="D172" s="395">
        <v>3928</v>
      </c>
      <c r="E172" s="395">
        <v>1947</v>
      </c>
      <c r="F172" s="395">
        <v>1952</v>
      </c>
      <c r="G172" s="395">
        <v>3899</v>
      </c>
      <c r="H172" s="395">
        <v>1977</v>
      </c>
      <c r="I172" s="395">
        <v>1935</v>
      </c>
      <c r="J172" s="395">
        <v>3912</v>
      </c>
      <c r="K172" t="str">
        <f t="shared" si="2"/>
        <v>Arnesano</v>
      </c>
    </row>
    <row r="173" spans="1:11">
      <c r="A173" s="394" t="s">
        <v>799</v>
      </c>
      <c r="B173" s="395">
        <v>862</v>
      </c>
      <c r="C173" s="395">
        <v>897</v>
      </c>
      <c r="D173" s="395">
        <v>1759</v>
      </c>
      <c r="E173" s="395">
        <v>861</v>
      </c>
      <c r="F173" s="395">
        <v>882</v>
      </c>
      <c r="G173" s="395">
        <v>1743</v>
      </c>
      <c r="H173" s="395">
        <v>853</v>
      </c>
      <c r="I173" s="395">
        <v>866</v>
      </c>
      <c r="J173" s="395">
        <v>1719</v>
      </c>
      <c r="K173" t="str">
        <f t="shared" si="2"/>
        <v>Bagnolo del Salento</v>
      </c>
    </row>
    <row r="174" spans="1:11">
      <c r="A174" s="394" t="s">
        <v>800</v>
      </c>
      <c r="B174" s="395">
        <v>1250</v>
      </c>
      <c r="C174" s="395">
        <v>1380</v>
      </c>
      <c r="D174" s="395">
        <v>2630</v>
      </c>
      <c r="E174" s="395">
        <v>1243</v>
      </c>
      <c r="F174" s="395">
        <v>1380</v>
      </c>
      <c r="G174" s="395">
        <v>2623</v>
      </c>
      <c r="H174" s="395">
        <v>1237</v>
      </c>
      <c r="I174" s="395">
        <v>1355</v>
      </c>
      <c r="J174" s="395">
        <v>2592</v>
      </c>
      <c r="K174" t="str">
        <f t="shared" si="2"/>
        <v>Botrugno</v>
      </c>
    </row>
    <row r="175" spans="1:11">
      <c r="A175" s="394" t="s">
        <v>801</v>
      </c>
      <c r="B175" s="395">
        <v>3144</v>
      </c>
      <c r="C175" s="395">
        <v>3578</v>
      </c>
      <c r="D175" s="395">
        <v>6722</v>
      </c>
      <c r="E175" s="395">
        <v>3161</v>
      </c>
      <c r="F175" s="395">
        <v>3537</v>
      </c>
      <c r="G175" s="395">
        <v>6698</v>
      </c>
      <c r="H175" s="395">
        <v>3149</v>
      </c>
      <c r="I175" s="395">
        <v>3514</v>
      </c>
      <c r="J175" s="395">
        <v>6663</v>
      </c>
      <c r="K175" t="str">
        <f t="shared" si="2"/>
        <v>Calimera</v>
      </c>
    </row>
    <row r="176" spans="1:11">
      <c r="A176" s="394" t="s">
        <v>802</v>
      </c>
      <c r="B176" s="395">
        <v>4706</v>
      </c>
      <c r="C176" s="395">
        <v>5102</v>
      </c>
      <c r="D176" s="395">
        <v>9808</v>
      </c>
      <c r="E176" s="395">
        <v>4680</v>
      </c>
      <c r="F176" s="395">
        <v>5060</v>
      </c>
      <c r="G176" s="395">
        <v>9740</v>
      </c>
      <c r="H176" s="395">
        <v>4638</v>
      </c>
      <c r="I176" s="395">
        <v>4999</v>
      </c>
      <c r="J176" s="395">
        <v>9637</v>
      </c>
      <c r="K176" t="str">
        <f t="shared" si="2"/>
        <v>Campi Salentina</v>
      </c>
    </row>
    <row r="177" spans="1:11">
      <c r="A177" s="394" t="s">
        <v>803</v>
      </c>
      <c r="B177" s="395">
        <v>808</v>
      </c>
      <c r="C177" s="395">
        <v>800</v>
      </c>
      <c r="D177" s="395">
        <v>1608</v>
      </c>
      <c r="E177" s="395">
        <v>791</v>
      </c>
      <c r="F177" s="395">
        <v>785</v>
      </c>
      <c r="G177" s="395">
        <v>1576</v>
      </c>
      <c r="H177" s="395">
        <v>786</v>
      </c>
      <c r="I177" s="395">
        <v>781</v>
      </c>
      <c r="J177" s="395">
        <v>1567</v>
      </c>
      <c r="K177" t="str">
        <f t="shared" si="2"/>
        <v>Cannole</v>
      </c>
    </row>
    <row r="178" spans="1:11">
      <c r="A178" s="394" t="s">
        <v>804</v>
      </c>
      <c r="B178" s="395">
        <v>1086</v>
      </c>
      <c r="C178" s="395">
        <v>1197</v>
      </c>
      <c r="D178" s="395">
        <v>2283</v>
      </c>
      <c r="E178" s="395">
        <v>1080</v>
      </c>
      <c r="F178" s="395">
        <v>1183</v>
      </c>
      <c r="G178" s="395">
        <v>2263</v>
      </c>
      <c r="H178" s="395">
        <v>1071</v>
      </c>
      <c r="I178" s="395">
        <v>1181</v>
      </c>
      <c r="J178" s="395">
        <v>2252</v>
      </c>
      <c r="K178" t="str">
        <f t="shared" si="2"/>
        <v>Caprarica di Lecce</v>
      </c>
    </row>
    <row r="179" spans="1:11">
      <c r="A179" s="394" t="s">
        <v>805</v>
      </c>
      <c r="B179" s="395">
        <v>5724</v>
      </c>
      <c r="C179" s="395">
        <v>5939</v>
      </c>
      <c r="D179" s="395">
        <v>11663</v>
      </c>
      <c r="E179" s="395">
        <v>5726</v>
      </c>
      <c r="F179" s="395">
        <v>5927</v>
      </c>
      <c r="G179" s="395">
        <v>11653</v>
      </c>
      <c r="H179" s="395">
        <v>5743</v>
      </c>
      <c r="I179" s="395">
        <v>5900</v>
      </c>
      <c r="J179" s="395">
        <v>11643</v>
      </c>
      <c r="K179" t="str">
        <f t="shared" si="2"/>
        <v>Carmiano</v>
      </c>
    </row>
    <row r="180" spans="1:11">
      <c r="A180" s="394" t="s">
        <v>806</v>
      </c>
      <c r="B180" s="395">
        <v>1811</v>
      </c>
      <c r="C180" s="395">
        <v>1830</v>
      </c>
      <c r="D180" s="395">
        <v>3641</v>
      </c>
      <c r="E180" s="395">
        <v>1811</v>
      </c>
      <c r="F180" s="395">
        <v>1819</v>
      </c>
      <c r="G180" s="395">
        <v>3630</v>
      </c>
      <c r="H180" s="395">
        <v>1811</v>
      </c>
      <c r="I180" s="395">
        <v>1837</v>
      </c>
      <c r="J180" s="395">
        <v>3648</v>
      </c>
      <c r="K180" t="str">
        <f t="shared" si="2"/>
        <v>Carpignano Salentino</v>
      </c>
    </row>
    <row r="181" spans="1:11">
      <c r="A181" s="394" t="s">
        <v>807</v>
      </c>
      <c r="B181" s="395">
        <v>9149</v>
      </c>
      <c r="C181" s="395">
        <v>10096</v>
      </c>
      <c r="D181" s="395">
        <v>19245</v>
      </c>
      <c r="E181" s="395">
        <v>9106</v>
      </c>
      <c r="F181" s="395">
        <v>10045</v>
      </c>
      <c r="G181" s="395">
        <v>19151</v>
      </c>
      <c r="H181" s="395">
        <v>9100</v>
      </c>
      <c r="I181" s="395">
        <v>9990</v>
      </c>
      <c r="J181" s="395">
        <v>19090</v>
      </c>
      <c r="K181" t="str">
        <f t="shared" si="2"/>
        <v>Casarano</v>
      </c>
    </row>
    <row r="182" spans="1:11">
      <c r="A182" s="394" t="s">
        <v>808</v>
      </c>
      <c r="B182" s="395">
        <v>1349</v>
      </c>
      <c r="C182" s="395">
        <v>1398</v>
      </c>
      <c r="D182" s="395">
        <v>2747</v>
      </c>
      <c r="E182" s="395">
        <v>1344</v>
      </c>
      <c r="F182" s="395">
        <v>1388</v>
      </c>
      <c r="G182" s="395">
        <v>2732</v>
      </c>
      <c r="H182" s="395">
        <v>1332</v>
      </c>
      <c r="I182" s="395">
        <v>1392</v>
      </c>
      <c r="J182" s="395">
        <v>2724</v>
      </c>
      <c r="K182" t="str">
        <f t="shared" si="2"/>
        <v>Castri di Lecce</v>
      </c>
    </row>
    <row r="183" spans="1:11">
      <c r="A183" s="394" t="s">
        <v>809</v>
      </c>
      <c r="B183" s="395">
        <v>1773</v>
      </c>
      <c r="C183" s="395">
        <v>1896</v>
      </c>
      <c r="D183" s="395">
        <v>3669</v>
      </c>
      <c r="E183" s="395">
        <v>1766</v>
      </c>
      <c r="F183" s="395">
        <v>1873</v>
      </c>
      <c r="G183" s="395">
        <v>3639</v>
      </c>
      <c r="H183" s="395">
        <v>1770</v>
      </c>
      <c r="I183" s="395">
        <v>1860</v>
      </c>
      <c r="J183" s="395">
        <v>3630</v>
      </c>
      <c r="K183" t="str">
        <f t="shared" si="2"/>
        <v>Castrignano de' Greci</v>
      </c>
    </row>
    <row r="184" spans="1:11">
      <c r="A184" s="394" t="s">
        <v>810</v>
      </c>
      <c r="B184" s="395">
        <v>2457</v>
      </c>
      <c r="C184" s="395">
        <v>2664</v>
      </c>
      <c r="D184" s="395">
        <v>5121</v>
      </c>
      <c r="E184" s="395">
        <v>2452</v>
      </c>
      <c r="F184" s="395">
        <v>2646</v>
      </c>
      <c r="G184" s="395">
        <v>5098</v>
      </c>
      <c r="H184" s="395">
        <v>2435</v>
      </c>
      <c r="I184" s="395">
        <v>2647</v>
      </c>
      <c r="J184" s="395">
        <v>5082</v>
      </c>
      <c r="K184" t="str">
        <f t="shared" si="2"/>
        <v>Castrignano del Capo</v>
      </c>
    </row>
    <row r="185" spans="1:11">
      <c r="A185" s="394" t="s">
        <v>811</v>
      </c>
      <c r="B185" s="395">
        <v>1133</v>
      </c>
      <c r="C185" s="395">
        <v>1261</v>
      </c>
      <c r="D185" s="395">
        <v>2394</v>
      </c>
      <c r="E185" s="395">
        <v>1117</v>
      </c>
      <c r="F185" s="395">
        <v>1231</v>
      </c>
      <c r="G185" s="395">
        <v>2348</v>
      </c>
      <c r="H185" s="395">
        <v>1108</v>
      </c>
      <c r="I185" s="395">
        <v>1208</v>
      </c>
      <c r="J185" s="395">
        <v>2316</v>
      </c>
      <c r="K185" t="str">
        <f t="shared" si="2"/>
        <v>Castro</v>
      </c>
    </row>
    <row r="186" spans="1:11">
      <c r="A186" s="394" t="s">
        <v>812</v>
      </c>
      <c r="B186" s="395">
        <v>6288</v>
      </c>
      <c r="C186" s="395">
        <v>6672</v>
      </c>
      <c r="D186" s="395">
        <v>12960</v>
      </c>
      <c r="E186" s="395">
        <v>6282</v>
      </c>
      <c r="F186" s="395">
        <v>6649</v>
      </c>
      <c r="G186" s="395">
        <v>12931</v>
      </c>
      <c r="H186" s="395">
        <v>6323</v>
      </c>
      <c r="I186" s="395">
        <v>6713</v>
      </c>
      <c r="J186" s="395">
        <v>13036</v>
      </c>
      <c r="K186" t="str">
        <f t="shared" si="2"/>
        <v>Cavallino</v>
      </c>
    </row>
    <row r="187" spans="1:11">
      <c r="A187" s="394" t="s">
        <v>813</v>
      </c>
      <c r="B187" s="395">
        <v>2720</v>
      </c>
      <c r="C187" s="395">
        <v>2894</v>
      </c>
      <c r="D187" s="395">
        <v>5614</v>
      </c>
      <c r="E187" s="395">
        <v>2695</v>
      </c>
      <c r="F187" s="395">
        <v>2859</v>
      </c>
      <c r="G187" s="395">
        <v>5554</v>
      </c>
      <c r="H187" s="395">
        <v>2676</v>
      </c>
      <c r="I187" s="395">
        <v>2828</v>
      </c>
      <c r="J187" s="395">
        <v>5504</v>
      </c>
      <c r="K187" t="str">
        <f t="shared" si="2"/>
        <v>Collepasso</v>
      </c>
    </row>
    <row r="188" spans="1:11">
      <c r="A188" s="394" t="s">
        <v>814</v>
      </c>
      <c r="B188" s="395">
        <v>11215</v>
      </c>
      <c r="C188" s="395">
        <v>11864</v>
      </c>
      <c r="D188" s="395">
        <v>23079</v>
      </c>
      <c r="E188" s="395">
        <v>11197</v>
      </c>
      <c r="F188" s="395">
        <v>11772</v>
      </c>
      <c r="G188" s="395">
        <v>22969</v>
      </c>
      <c r="H188" s="395">
        <v>11151</v>
      </c>
      <c r="I188" s="395">
        <v>11677</v>
      </c>
      <c r="J188" s="395">
        <v>22828</v>
      </c>
      <c r="K188" t="str">
        <f t="shared" si="2"/>
        <v>Copertino</v>
      </c>
    </row>
    <row r="189" spans="1:11">
      <c r="A189" s="394" t="s">
        <v>815</v>
      </c>
      <c r="B189" s="395">
        <v>2690</v>
      </c>
      <c r="C189" s="395">
        <v>2965</v>
      </c>
      <c r="D189" s="395">
        <v>5655</v>
      </c>
      <c r="E189" s="395">
        <v>2680</v>
      </c>
      <c r="F189" s="395">
        <v>2918</v>
      </c>
      <c r="G189" s="395">
        <v>5598</v>
      </c>
      <c r="H189" s="395">
        <v>2665</v>
      </c>
      <c r="I189" s="395">
        <v>2886</v>
      </c>
      <c r="J189" s="395">
        <v>5551</v>
      </c>
      <c r="K189" t="str">
        <f t="shared" si="2"/>
        <v>Corigliano d'Otranto</v>
      </c>
    </row>
    <row r="190" spans="1:11">
      <c r="A190" s="394" t="s">
        <v>816</v>
      </c>
      <c r="B190" s="395">
        <v>2541</v>
      </c>
      <c r="C190" s="395">
        <v>2595</v>
      </c>
      <c r="D190" s="395">
        <v>5136</v>
      </c>
      <c r="E190" s="395">
        <v>2520</v>
      </c>
      <c r="F190" s="395">
        <v>2599</v>
      </c>
      <c r="G190" s="395">
        <v>5119</v>
      </c>
      <c r="H190" s="395">
        <v>2499</v>
      </c>
      <c r="I190" s="395">
        <v>2572</v>
      </c>
      <c r="J190" s="395">
        <v>5071</v>
      </c>
      <c r="K190" t="str">
        <f t="shared" si="2"/>
        <v>Corsano</v>
      </c>
    </row>
    <row r="191" spans="1:11">
      <c r="A191" s="394" t="s">
        <v>817</v>
      </c>
      <c r="B191" s="395">
        <v>1898</v>
      </c>
      <c r="C191" s="395">
        <v>1972</v>
      </c>
      <c r="D191" s="395">
        <v>3870</v>
      </c>
      <c r="E191" s="395">
        <v>1901</v>
      </c>
      <c r="F191" s="395">
        <v>1938</v>
      </c>
      <c r="G191" s="395">
        <v>3839</v>
      </c>
      <c r="H191" s="395">
        <v>1895</v>
      </c>
      <c r="I191" s="395">
        <v>1918</v>
      </c>
      <c r="J191" s="395">
        <v>3813</v>
      </c>
      <c r="K191" t="str">
        <f t="shared" si="2"/>
        <v>Cursi</v>
      </c>
    </row>
    <row r="192" spans="1:11">
      <c r="A192" s="394" t="s">
        <v>818</v>
      </c>
      <c r="B192" s="395">
        <v>4195</v>
      </c>
      <c r="C192" s="395">
        <v>4541</v>
      </c>
      <c r="D192" s="395">
        <v>8736</v>
      </c>
      <c r="E192" s="395">
        <v>4162</v>
      </c>
      <c r="F192" s="395">
        <v>4495</v>
      </c>
      <c r="G192" s="395">
        <v>8657</v>
      </c>
      <c r="H192" s="395">
        <v>4157</v>
      </c>
      <c r="I192" s="395">
        <v>4487</v>
      </c>
      <c r="J192" s="395">
        <v>8644</v>
      </c>
      <c r="K192" t="str">
        <f t="shared" si="2"/>
        <v>Cutrofiano</v>
      </c>
    </row>
    <row r="193" spans="1:11">
      <c r="A193" s="394" t="s">
        <v>819</v>
      </c>
      <c r="B193" s="395">
        <v>1339</v>
      </c>
      <c r="C193" s="395">
        <v>1491</v>
      </c>
      <c r="D193" s="395">
        <v>2830</v>
      </c>
      <c r="E193" s="395">
        <v>1324</v>
      </c>
      <c r="F193" s="395">
        <v>1479</v>
      </c>
      <c r="G193" s="395">
        <v>2803</v>
      </c>
      <c r="H193" s="395">
        <v>1320</v>
      </c>
      <c r="I193" s="395">
        <v>1473</v>
      </c>
      <c r="J193" s="395">
        <v>2793</v>
      </c>
      <c r="K193" t="str">
        <f t="shared" si="2"/>
        <v>Diso</v>
      </c>
    </row>
    <row r="194" spans="1:11">
      <c r="A194" s="394" t="s">
        <v>820</v>
      </c>
      <c r="B194" s="395">
        <v>2352</v>
      </c>
      <c r="C194" s="395">
        <v>2501</v>
      </c>
      <c r="D194" s="395">
        <v>4853</v>
      </c>
      <c r="E194" s="395">
        <v>2372</v>
      </c>
      <c r="F194" s="395">
        <v>2491</v>
      </c>
      <c r="G194" s="395">
        <v>4863</v>
      </c>
      <c r="H194" s="395">
        <v>2346</v>
      </c>
      <c r="I194" s="395">
        <v>2465</v>
      </c>
      <c r="J194" s="395">
        <v>4811</v>
      </c>
      <c r="K194" t="str">
        <f t="shared" si="2"/>
        <v>Gagliano del Capo</v>
      </c>
    </row>
    <row r="195" spans="1:11">
      <c r="A195" s="394" t="s">
        <v>821</v>
      </c>
      <c r="B195" s="395">
        <v>12358</v>
      </c>
      <c r="C195" s="395">
        <v>13343</v>
      </c>
      <c r="D195" s="395">
        <v>25701</v>
      </c>
      <c r="E195" s="395">
        <v>12256</v>
      </c>
      <c r="F195" s="395">
        <v>13229</v>
      </c>
      <c r="G195" s="395">
        <v>25485</v>
      </c>
      <c r="H195" s="395">
        <v>12181</v>
      </c>
      <c r="I195" s="395">
        <v>13123</v>
      </c>
      <c r="J195" s="395">
        <v>25304</v>
      </c>
      <c r="K195" t="str">
        <f t="shared" si="2"/>
        <v>Galatina</v>
      </c>
    </row>
    <row r="196" spans="1:11">
      <c r="A196" s="394" t="s">
        <v>822</v>
      </c>
      <c r="B196" s="395">
        <v>7236</v>
      </c>
      <c r="C196" s="395">
        <v>7761</v>
      </c>
      <c r="D196" s="395">
        <v>14997</v>
      </c>
      <c r="E196" s="395">
        <v>7193</v>
      </c>
      <c r="F196" s="395">
        <v>7691</v>
      </c>
      <c r="G196" s="395">
        <v>14884</v>
      </c>
      <c r="H196" s="395">
        <v>7156</v>
      </c>
      <c r="I196" s="395">
        <v>7657</v>
      </c>
      <c r="J196" s="395">
        <v>14813</v>
      </c>
      <c r="K196" t="str">
        <f t="shared" si="2"/>
        <v>Galatone</v>
      </c>
    </row>
    <row r="197" spans="1:11">
      <c r="A197" s="394" t="s">
        <v>823</v>
      </c>
      <c r="B197" s="395">
        <v>9396</v>
      </c>
      <c r="C197" s="395">
        <v>9971</v>
      </c>
      <c r="D197" s="395">
        <v>19367</v>
      </c>
      <c r="E197" s="395">
        <v>9297</v>
      </c>
      <c r="F197" s="395">
        <v>9842</v>
      </c>
      <c r="G197" s="395">
        <v>19139</v>
      </c>
      <c r="H197" s="395">
        <v>9202</v>
      </c>
      <c r="I197" s="395">
        <v>9729</v>
      </c>
      <c r="J197" s="395">
        <v>18931</v>
      </c>
      <c r="K197" t="str">
        <f t="shared" si="2"/>
        <v>Gallipoli</v>
      </c>
    </row>
    <row r="198" spans="1:11">
      <c r="A198" s="394" t="s">
        <v>824</v>
      </c>
      <c r="B198" s="395">
        <v>543</v>
      </c>
      <c r="C198" s="395">
        <v>577</v>
      </c>
      <c r="D198" s="395">
        <v>1120</v>
      </c>
      <c r="E198" s="395">
        <v>548</v>
      </c>
      <c r="F198" s="395">
        <v>579</v>
      </c>
      <c r="G198" s="395">
        <v>1127</v>
      </c>
      <c r="H198" s="395">
        <v>542</v>
      </c>
      <c r="I198" s="395">
        <v>583</v>
      </c>
      <c r="J198" s="395">
        <v>1125</v>
      </c>
      <c r="K198" t="str">
        <f t="shared" si="2"/>
        <v>Giuggianello</v>
      </c>
    </row>
    <row r="199" spans="1:11">
      <c r="A199" s="394" t="s">
        <v>825</v>
      </c>
      <c r="B199" s="395">
        <v>969</v>
      </c>
      <c r="C199" s="395">
        <v>976</v>
      </c>
      <c r="D199" s="395">
        <v>1945</v>
      </c>
      <c r="E199" s="395">
        <v>981</v>
      </c>
      <c r="F199" s="395">
        <v>972</v>
      </c>
      <c r="G199" s="395">
        <v>1953</v>
      </c>
      <c r="H199" s="395">
        <v>977</v>
      </c>
      <c r="I199" s="395">
        <v>972</v>
      </c>
      <c r="J199" s="395">
        <v>1949</v>
      </c>
      <c r="K199" t="str">
        <f t="shared" si="2"/>
        <v>Giurdignano</v>
      </c>
    </row>
    <row r="200" spans="1:11">
      <c r="A200" s="394" t="s">
        <v>826</v>
      </c>
      <c r="B200" s="395">
        <v>2594</v>
      </c>
      <c r="C200" s="395">
        <v>2799</v>
      </c>
      <c r="D200" s="395">
        <v>5393</v>
      </c>
      <c r="E200" s="395">
        <v>2549</v>
      </c>
      <c r="F200" s="395">
        <v>2772</v>
      </c>
      <c r="G200" s="395">
        <v>5321</v>
      </c>
      <c r="H200" s="395">
        <v>2532</v>
      </c>
      <c r="I200" s="395">
        <v>2772</v>
      </c>
      <c r="J200" s="395">
        <v>5304</v>
      </c>
      <c r="K200" t="str">
        <f t="shared" si="2"/>
        <v>Guagnano</v>
      </c>
    </row>
    <row r="201" spans="1:11">
      <c r="A201" s="394" t="s">
        <v>792</v>
      </c>
      <c r="B201" s="395">
        <v>45032</v>
      </c>
      <c r="C201" s="395">
        <v>49564</v>
      </c>
      <c r="D201" s="395">
        <v>94596</v>
      </c>
      <c r="E201" s="395">
        <v>44940</v>
      </c>
      <c r="F201" s="395">
        <v>49310</v>
      </c>
      <c r="G201" s="395">
        <v>94250</v>
      </c>
      <c r="H201" s="395">
        <v>44980</v>
      </c>
      <c r="I201" s="395">
        <v>49273</v>
      </c>
      <c r="J201" s="395">
        <v>94253</v>
      </c>
      <c r="K201" t="str">
        <f t="shared" si="2"/>
        <v>Lecce</v>
      </c>
    </row>
    <row r="202" spans="1:11">
      <c r="A202" s="394" t="s">
        <v>827</v>
      </c>
      <c r="B202" s="395">
        <v>4190</v>
      </c>
      <c r="C202" s="395">
        <v>4446</v>
      </c>
      <c r="D202" s="395">
        <v>8636</v>
      </c>
      <c r="E202" s="395">
        <v>4171</v>
      </c>
      <c r="F202" s="395">
        <v>4410</v>
      </c>
      <c r="G202" s="395">
        <v>8581</v>
      </c>
      <c r="H202" s="395">
        <v>4182</v>
      </c>
      <c r="I202" s="395">
        <v>4394</v>
      </c>
      <c r="J202" s="395">
        <v>8576</v>
      </c>
      <c r="K202" t="str">
        <f t="shared" si="2"/>
        <v>Lequile</v>
      </c>
    </row>
    <row r="203" spans="1:11">
      <c r="A203" s="394" t="s">
        <v>828</v>
      </c>
      <c r="B203" s="395">
        <v>6560</v>
      </c>
      <c r="C203" s="395">
        <v>7000</v>
      </c>
      <c r="D203" s="395">
        <v>13560</v>
      </c>
      <c r="E203" s="395">
        <v>6539</v>
      </c>
      <c r="F203" s="395">
        <v>6937</v>
      </c>
      <c r="G203" s="395">
        <v>13476</v>
      </c>
      <c r="H203" s="395">
        <v>6491</v>
      </c>
      <c r="I203" s="395">
        <v>6881</v>
      </c>
      <c r="J203" s="395">
        <v>13372</v>
      </c>
      <c r="K203" t="str">
        <f t="shared" ref="K203:K266" si="3">TRIM(A203)</f>
        <v>Leverano</v>
      </c>
    </row>
    <row r="204" spans="1:11">
      <c r="A204" s="394" t="s">
        <v>829</v>
      </c>
      <c r="B204" s="395">
        <v>5750</v>
      </c>
      <c r="C204" s="395">
        <v>6008</v>
      </c>
      <c r="D204" s="395">
        <v>11758</v>
      </c>
      <c r="E204" s="395">
        <v>5747</v>
      </c>
      <c r="F204" s="395">
        <v>6012</v>
      </c>
      <c r="G204" s="395">
        <v>11759</v>
      </c>
      <c r="H204" s="395">
        <v>5830</v>
      </c>
      <c r="I204" s="395">
        <v>5984</v>
      </c>
      <c r="J204" s="395">
        <v>11814</v>
      </c>
      <c r="K204" t="str">
        <f t="shared" si="3"/>
        <v>Lizzanello</v>
      </c>
    </row>
    <row r="205" spans="1:11">
      <c r="A205" s="394" t="s">
        <v>830</v>
      </c>
      <c r="B205" s="395">
        <v>6323</v>
      </c>
      <c r="C205" s="395">
        <v>7161</v>
      </c>
      <c r="D205" s="395">
        <v>13484</v>
      </c>
      <c r="E205" s="395">
        <v>6264</v>
      </c>
      <c r="F205" s="395">
        <v>7103</v>
      </c>
      <c r="G205" s="395">
        <v>13367</v>
      </c>
      <c r="H205" s="395">
        <v>6236</v>
      </c>
      <c r="I205" s="395">
        <v>7023</v>
      </c>
      <c r="J205" s="395">
        <v>13259</v>
      </c>
      <c r="K205" t="str">
        <f t="shared" si="3"/>
        <v>Maglie</v>
      </c>
    </row>
    <row r="206" spans="1:11">
      <c r="A206" s="394" t="s">
        <v>831</v>
      </c>
      <c r="B206" s="395">
        <v>4137</v>
      </c>
      <c r="C206" s="395">
        <v>4458</v>
      </c>
      <c r="D206" s="395">
        <v>8595</v>
      </c>
      <c r="E206" s="395">
        <v>4072</v>
      </c>
      <c r="F206" s="395">
        <v>4413</v>
      </c>
      <c r="G206" s="395">
        <v>8485</v>
      </c>
      <c r="H206" s="395">
        <v>4071</v>
      </c>
      <c r="I206" s="395">
        <v>4394</v>
      </c>
      <c r="J206" s="395">
        <v>8465</v>
      </c>
      <c r="K206" t="str">
        <f t="shared" si="3"/>
        <v>Martano</v>
      </c>
    </row>
    <row r="207" spans="1:11">
      <c r="A207" s="394" t="s">
        <v>832</v>
      </c>
      <c r="B207" s="395">
        <v>778</v>
      </c>
      <c r="C207" s="395">
        <v>792</v>
      </c>
      <c r="D207" s="395">
        <v>1570</v>
      </c>
      <c r="E207" s="395">
        <v>776</v>
      </c>
      <c r="F207" s="395">
        <v>791</v>
      </c>
      <c r="G207" s="395">
        <v>1567</v>
      </c>
      <c r="H207" s="395">
        <v>764</v>
      </c>
      <c r="I207" s="395">
        <v>775</v>
      </c>
      <c r="J207" s="395">
        <v>1539</v>
      </c>
      <c r="K207" t="str">
        <f t="shared" si="3"/>
        <v>Martignano</v>
      </c>
    </row>
    <row r="208" spans="1:11">
      <c r="A208" s="394" t="s">
        <v>833</v>
      </c>
      <c r="B208" s="395">
        <v>5303</v>
      </c>
      <c r="C208" s="395">
        <v>5639</v>
      </c>
      <c r="D208" s="395">
        <v>10942</v>
      </c>
      <c r="E208" s="395">
        <v>5280</v>
      </c>
      <c r="F208" s="395">
        <v>5595</v>
      </c>
      <c r="G208" s="395">
        <v>10875</v>
      </c>
      <c r="H208" s="395">
        <v>5233</v>
      </c>
      <c r="I208" s="395">
        <v>5549</v>
      </c>
      <c r="J208" s="395">
        <v>10782</v>
      </c>
      <c r="K208" t="str">
        <f t="shared" si="3"/>
        <v>Matino</v>
      </c>
    </row>
    <row r="209" spans="1:11">
      <c r="A209" s="394" t="s">
        <v>834</v>
      </c>
      <c r="B209" s="395">
        <v>4933</v>
      </c>
      <c r="C209" s="395">
        <v>5116</v>
      </c>
      <c r="D209" s="395">
        <v>10049</v>
      </c>
      <c r="E209" s="395">
        <v>4914</v>
      </c>
      <c r="F209" s="395">
        <v>5085</v>
      </c>
      <c r="G209" s="395">
        <v>9999</v>
      </c>
      <c r="H209" s="395">
        <v>4936</v>
      </c>
      <c r="I209" s="395">
        <v>5099</v>
      </c>
      <c r="J209" s="395">
        <v>10035</v>
      </c>
      <c r="K209" t="str">
        <f t="shared" si="3"/>
        <v>Melendugno</v>
      </c>
    </row>
    <row r="210" spans="1:11">
      <c r="A210" s="394" t="s">
        <v>835</v>
      </c>
      <c r="B210" s="395">
        <v>3218</v>
      </c>
      <c r="C210" s="395">
        <v>3446</v>
      </c>
      <c r="D210" s="395">
        <v>6664</v>
      </c>
      <c r="E210" s="395">
        <v>3215</v>
      </c>
      <c r="F210" s="395">
        <v>3417</v>
      </c>
      <c r="G210" s="395">
        <v>6632</v>
      </c>
      <c r="H210" s="395">
        <v>3179</v>
      </c>
      <c r="I210" s="395">
        <v>3392</v>
      </c>
      <c r="J210" s="395">
        <v>6571</v>
      </c>
      <c r="K210" t="str">
        <f t="shared" si="3"/>
        <v>Melissano</v>
      </c>
    </row>
    <row r="211" spans="1:11">
      <c r="A211" s="394" t="s">
        <v>836</v>
      </c>
      <c r="B211" s="395">
        <v>1032</v>
      </c>
      <c r="C211" s="395">
        <v>1085</v>
      </c>
      <c r="D211" s="395">
        <v>2117</v>
      </c>
      <c r="E211" s="395">
        <v>1019</v>
      </c>
      <c r="F211" s="395">
        <v>1070</v>
      </c>
      <c r="G211" s="395">
        <v>2089</v>
      </c>
      <c r="H211" s="395">
        <v>1018</v>
      </c>
      <c r="I211" s="395">
        <v>1056</v>
      </c>
      <c r="J211" s="395">
        <v>2074</v>
      </c>
      <c r="K211" t="str">
        <f t="shared" si="3"/>
        <v>Melpignano</v>
      </c>
    </row>
    <row r="212" spans="1:11">
      <c r="A212" s="394" t="s">
        <v>837</v>
      </c>
      <c r="B212" s="395">
        <v>1533</v>
      </c>
      <c r="C212" s="395">
        <v>1739</v>
      </c>
      <c r="D212" s="395">
        <v>3272</v>
      </c>
      <c r="E212" s="395">
        <v>1499</v>
      </c>
      <c r="F212" s="395">
        <v>1730</v>
      </c>
      <c r="G212" s="395">
        <v>3229</v>
      </c>
      <c r="H212" s="395">
        <v>1489</v>
      </c>
      <c r="I212" s="395">
        <v>1729</v>
      </c>
      <c r="J212" s="395">
        <v>3218</v>
      </c>
      <c r="K212" t="str">
        <f t="shared" si="3"/>
        <v>Miggiano</v>
      </c>
    </row>
    <row r="213" spans="1:11">
      <c r="A213" s="394" t="s">
        <v>838</v>
      </c>
      <c r="B213" s="395">
        <v>1633</v>
      </c>
      <c r="C213" s="395">
        <v>1838</v>
      </c>
      <c r="D213" s="395">
        <v>3471</v>
      </c>
      <c r="E213" s="395">
        <v>1618</v>
      </c>
      <c r="F213" s="395">
        <v>1820</v>
      </c>
      <c r="G213" s="395">
        <v>3438</v>
      </c>
      <c r="H213" s="395">
        <v>1609</v>
      </c>
      <c r="I213" s="395">
        <v>1809</v>
      </c>
      <c r="J213" s="395">
        <v>3418</v>
      </c>
      <c r="K213" t="str">
        <f t="shared" si="3"/>
        <v>Minervino di Lecce</v>
      </c>
    </row>
    <row r="214" spans="1:11">
      <c r="A214" s="394" t="s">
        <v>839</v>
      </c>
      <c r="B214" s="395">
        <v>6475</v>
      </c>
      <c r="C214" s="395">
        <v>6856</v>
      </c>
      <c r="D214" s="395">
        <v>13331</v>
      </c>
      <c r="E214" s="395">
        <v>6437</v>
      </c>
      <c r="F214" s="395">
        <v>6799</v>
      </c>
      <c r="G214" s="395">
        <v>13236</v>
      </c>
      <c r="H214" s="395">
        <v>6414</v>
      </c>
      <c r="I214" s="395">
        <v>6786</v>
      </c>
      <c r="J214" s="395">
        <v>13200</v>
      </c>
      <c r="K214" t="str">
        <f t="shared" si="3"/>
        <v>Monteroni di Lecce</v>
      </c>
    </row>
    <row r="215" spans="1:11">
      <c r="A215" s="394" t="s">
        <v>840</v>
      </c>
      <c r="B215" s="395">
        <v>1270</v>
      </c>
      <c r="C215" s="395">
        <v>1334</v>
      </c>
      <c r="D215" s="395">
        <v>2604</v>
      </c>
      <c r="E215" s="395">
        <v>1262</v>
      </c>
      <c r="F215" s="395">
        <v>1341</v>
      </c>
      <c r="G215" s="395">
        <v>2603</v>
      </c>
      <c r="H215" s="395">
        <v>1269</v>
      </c>
      <c r="I215" s="395">
        <v>1350</v>
      </c>
      <c r="J215" s="395">
        <v>2619</v>
      </c>
      <c r="K215" t="str">
        <f t="shared" si="3"/>
        <v>Montesano Salentino</v>
      </c>
    </row>
    <row r="216" spans="1:11">
      <c r="A216" s="394" t="s">
        <v>841</v>
      </c>
      <c r="B216" s="395">
        <v>1425</v>
      </c>
      <c r="C216" s="395">
        <v>1626</v>
      </c>
      <c r="D216" s="395">
        <v>3051</v>
      </c>
      <c r="E216" s="395">
        <v>1413</v>
      </c>
      <c r="F216" s="395">
        <v>1617</v>
      </c>
      <c r="G216" s="395">
        <v>3030</v>
      </c>
      <c r="H216" s="395">
        <v>1417</v>
      </c>
      <c r="I216" s="395">
        <v>1614</v>
      </c>
      <c r="J216" s="395">
        <v>3031</v>
      </c>
      <c r="K216" t="str">
        <f t="shared" si="3"/>
        <v>Morciano di Leuca</v>
      </c>
    </row>
    <row r="217" spans="1:11">
      <c r="A217" s="394" t="s">
        <v>842</v>
      </c>
      <c r="B217" s="395">
        <v>2279</v>
      </c>
      <c r="C217" s="395">
        <v>2427</v>
      </c>
      <c r="D217" s="395">
        <v>4706</v>
      </c>
      <c r="E217" s="395">
        <v>2249</v>
      </c>
      <c r="F217" s="395">
        <v>2406</v>
      </c>
      <c r="G217" s="395">
        <v>4655</v>
      </c>
      <c r="H217" s="395">
        <v>2247</v>
      </c>
      <c r="I217" s="395">
        <v>2394</v>
      </c>
      <c r="J217" s="395">
        <v>4641</v>
      </c>
      <c r="K217" t="str">
        <f t="shared" si="3"/>
        <v>Muro Leccese</v>
      </c>
    </row>
    <row r="218" spans="1:11">
      <c r="A218" s="394" t="s">
        <v>843</v>
      </c>
      <c r="B218" s="395">
        <v>14714</v>
      </c>
      <c r="C218" s="395">
        <v>16074</v>
      </c>
      <c r="D218" s="395">
        <v>30788</v>
      </c>
      <c r="E218" s="395">
        <v>14715</v>
      </c>
      <c r="F218" s="395">
        <v>16033</v>
      </c>
      <c r="G218" s="395">
        <v>30748</v>
      </c>
      <c r="H218" s="395">
        <v>14704</v>
      </c>
      <c r="I218" s="395">
        <v>15963</v>
      </c>
      <c r="J218" s="395">
        <v>30667</v>
      </c>
      <c r="K218" t="str">
        <f t="shared" si="3"/>
        <v>Nardò</v>
      </c>
    </row>
    <row r="219" spans="1:11">
      <c r="A219" s="394" t="s">
        <v>844</v>
      </c>
      <c r="B219" s="395">
        <v>2366</v>
      </c>
      <c r="C219" s="395">
        <v>2542</v>
      </c>
      <c r="D219" s="395">
        <v>4908</v>
      </c>
      <c r="E219" s="395">
        <v>2360</v>
      </c>
      <c r="F219" s="395">
        <v>2512</v>
      </c>
      <c r="G219" s="395">
        <v>4872</v>
      </c>
      <c r="H219" s="395">
        <v>2326</v>
      </c>
      <c r="I219" s="395">
        <v>2489</v>
      </c>
      <c r="J219" s="395">
        <v>4815</v>
      </c>
      <c r="K219" t="str">
        <f t="shared" si="3"/>
        <v>Neviano</v>
      </c>
    </row>
    <row r="220" spans="1:11">
      <c r="A220" s="394" t="s">
        <v>845</v>
      </c>
      <c r="B220" s="395">
        <v>994</v>
      </c>
      <c r="C220" s="395">
        <v>1136</v>
      </c>
      <c r="D220" s="395">
        <v>2130</v>
      </c>
      <c r="E220" s="395">
        <v>976</v>
      </c>
      <c r="F220" s="395">
        <v>1124</v>
      </c>
      <c r="G220" s="395">
        <v>2100</v>
      </c>
      <c r="H220" s="395">
        <v>974</v>
      </c>
      <c r="I220" s="395">
        <v>1123</v>
      </c>
      <c r="J220" s="395">
        <v>2097</v>
      </c>
      <c r="K220" t="str">
        <f t="shared" si="3"/>
        <v>Nociglia</v>
      </c>
    </row>
    <row r="221" spans="1:11">
      <c r="A221" s="394" t="s">
        <v>846</v>
      </c>
      <c r="B221" s="395">
        <v>3622</v>
      </c>
      <c r="C221" s="395">
        <v>3966</v>
      </c>
      <c r="D221" s="395">
        <v>7588</v>
      </c>
      <c r="E221" s="395">
        <v>3566</v>
      </c>
      <c r="F221" s="395">
        <v>3916</v>
      </c>
      <c r="G221" s="395">
        <v>7482</v>
      </c>
      <c r="H221" s="395">
        <v>3610</v>
      </c>
      <c r="I221" s="395">
        <v>3892</v>
      </c>
      <c r="J221" s="395">
        <v>7502</v>
      </c>
      <c r="K221" t="str">
        <f t="shared" si="3"/>
        <v>Novoli</v>
      </c>
    </row>
    <row r="222" spans="1:11">
      <c r="A222" s="394" t="s">
        <v>847</v>
      </c>
      <c r="B222" s="395">
        <v>1042</v>
      </c>
      <c r="C222" s="395">
        <v>1157</v>
      </c>
      <c r="D222" s="395">
        <v>2199</v>
      </c>
      <c r="E222" s="395">
        <v>1035</v>
      </c>
      <c r="F222" s="395">
        <v>1144</v>
      </c>
      <c r="G222" s="395">
        <v>2179</v>
      </c>
      <c r="H222" s="395">
        <v>1033</v>
      </c>
      <c r="I222" s="395">
        <v>1134</v>
      </c>
      <c r="J222" s="395">
        <v>2167</v>
      </c>
      <c r="K222" t="str">
        <f t="shared" si="3"/>
        <v>Ortelle</v>
      </c>
    </row>
    <row r="223" spans="1:11">
      <c r="A223" s="394" t="s">
        <v>848</v>
      </c>
      <c r="B223" s="395">
        <v>2683</v>
      </c>
      <c r="C223" s="395">
        <v>2963</v>
      </c>
      <c r="D223" s="395">
        <v>5646</v>
      </c>
      <c r="E223" s="395">
        <v>2705</v>
      </c>
      <c r="F223" s="395">
        <v>2907</v>
      </c>
      <c r="G223" s="395">
        <v>5612</v>
      </c>
      <c r="H223" s="395">
        <v>2656</v>
      </c>
      <c r="I223" s="395">
        <v>2882</v>
      </c>
      <c r="J223" s="395">
        <v>5538</v>
      </c>
      <c r="K223" t="str">
        <f t="shared" si="3"/>
        <v>Otranto</v>
      </c>
    </row>
    <row r="224" spans="1:11">
      <c r="A224" s="394" t="s">
        <v>849</v>
      </c>
      <c r="B224" s="395">
        <v>674</v>
      </c>
      <c r="C224" s="395">
        <v>709</v>
      </c>
      <c r="D224" s="395">
        <v>1383</v>
      </c>
      <c r="E224" s="395">
        <v>661</v>
      </c>
      <c r="F224" s="395">
        <v>695</v>
      </c>
      <c r="G224" s="395">
        <v>1356</v>
      </c>
      <c r="H224" s="395">
        <v>660</v>
      </c>
      <c r="I224" s="395">
        <v>693</v>
      </c>
      <c r="J224" s="395">
        <v>1353</v>
      </c>
      <c r="K224" t="str">
        <f t="shared" si="3"/>
        <v>Palmariggi</v>
      </c>
    </row>
    <row r="225" spans="1:11">
      <c r="A225" s="394" t="s">
        <v>850</v>
      </c>
      <c r="B225" s="395">
        <v>4136</v>
      </c>
      <c r="C225" s="395">
        <v>4584</v>
      </c>
      <c r="D225" s="395">
        <v>8720</v>
      </c>
      <c r="E225" s="395">
        <v>4122</v>
      </c>
      <c r="F225" s="395">
        <v>4554</v>
      </c>
      <c r="G225" s="395">
        <v>8676</v>
      </c>
      <c r="H225" s="395">
        <v>4108</v>
      </c>
      <c r="I225" s="395">
        <v>4546</v>
      </c>
      <c r="J225" s="395">
        <v>8654</v>
      </c>
      <c r="K225" t="str">
        <f t="shared" si="3"/>
        <v>Parabita</v>
      </c>
    </row>
    <row r="226" spans="1:11">
      <c r="A226" s="394" t="s">
        <v>851</v>
      </c>
      <c r="B226" s="395">
        <v>795</v>
      </c>
      <c r="C226" s="395">
        <v>842</v>
      </c>
      <c r="D226" s="395">
        <v>1637</v>
      </c>
      <c r="E226" s="395">
        <v>806</v>
      </c>
      <c r="F226" s="395">
        <v>846</v>
      </c>
      <c r="G226" s="395">
        <v>1652</v>
      </c>
      <c r="H226" s="395">
        <v>810</v>
      </c>
      <c r="I226" s="395">
        <v>835</v>
      </c>
      <c r="J226" s="395">
        <v>1645</v>
      </c>
      <c r="K226" t="str">
        <f t="shared" si="3"/>
        <v>Patù</v>
      </c>
    </row>
    <row r="227" spans="1:11">
      <c r="A227" s="394" t="s">
        <v>852</v>
      </c>
      <c r="B227" s="395">
        <v>2793</v>
      </c>
      <c r="C227" s="395">
        <v>3049</v>
      </c>
      <c r="D227" s="395">
        <v>5842</v>
      </c>
      <c r="E227" s="395">
        <v>2777</v>
      </c>
      <c r="F227" s="395">
        <v>3034</v>
      </c>
      <c r="G227" s="395">
        <v>5811</v>
      </c>
      <c r="H227" s="395">
        <v>2755</v>
      </c>
      <c r="I227" s="395">
        <v>2991</v>
      </c>
      <c r="J227" s="395">
        <v>5746</v>
      </c>
      <c r="K227" t="str">
        <f t="shared" si="3"/>
        <v>Poggiardo</v>
      </c>
    </row>
    <row r="228" spans="1:11">
      <c r="A228" s="394" t="s">
        <v>853</v>
      </c>
      <c r="B228" s="395">
        <v>3197</v>
      </c>
      <c r="C228" s="395">
        <v>3183</v>
      </c>
      <c r="D228" s="395">
        <v>6380</v>
      </c>
      <c r="E228" s="395">
        <v>3227</v>
      </c>
      <c r="F228" s="395">
        <v>3236</v>
      </c>
      <c r="G228" s="395">
        <v>6463</v>
      </c>
      <c r="H228" s="395">
        <v>3257</v>
      </c>
      <c r="I228" s="395">
        <v>3234</v>
      </c>
      <c r="J228" s="395">
        <v>6491</v>
      </c>
      <c r="K228" t="str">
        <f t="shared" si="3"/>
        <v>Porto Cesareo</v>
      </c>
    </row>
    <row r="229" spans="1:11">
      <c r="A229" s="394" t="s">
        <v>854</v>
      </c>
      <c r="B229" s="395">
        <v>4441</v>
      </c>
      <c r="C229" s="395">
        <v>4805</v>
      </c>
      <c r="D229" s="395">
        <v>9246</v>
      </c>
      <c r="E229" s="395">
        <v>4440</v>
      </c>
      <c r="F229" s="395">
        <v>4801</v>
      </c>
      <c r="G229" s="395">
        <v>9241</v>
      </c>
      <c r="H229" s="395">
        <v>4400</v>
      </c>
      <c r="I229" s="395">
        <v>4755</v>
      </c>
      <c r="J229" s="395">
        <v>9155</v>
      </c>
      <c r="K229" t="str">
        <f t="shared" si="3"/>
        <v>Presicce-Acquarica</v>
      </c>
    </row>
    <row r="230" spans="1:11">
      <c r="A230" s="394" t="s">
        <v>855</v>
      </c>
      <c r="B230" s="395">
        <v>5198</v>
      </c>
      <c r="C230" s="395">
        <v>5559</v>
      </c>
      <c r="D230" s="395">
        <v>10757</v>
      </c>
      <c r="E230" s="395">
        <v>5162</v>
      </c>
      <c r="F230" s="395">
        <v>5540</v>
      </c>
      <c r="G230" s="395">
        <v>10702</v>
      </c>
      <c r="H230" s="395">
        <v>5177</v>
      </c>
      <c r="I230" s="395">
        <v>5515</v>
      </c>
      <c r="J230" s="395">
        <v>10692</v>
      </c>
      <c r="K230" t="str">
        <f t="shared" si="3"/>
        <v>Racale</v>
      </c>
    </row>
    <row r="231" spans="1:11">
      <c r="A231" s="394" t="s">
        <v>856</v>
      </c>
      <c r="B231" s="395">
        <v>4494</v>
      </c>
      <c r="C231" s="395">
        <v>4869</v>
      </c>
      <c r="D231" s="395">
        <v>9363</v>
      </c>
      <c r="E231" s="395">
        <v>4473</v>
      </c>
      <c r="F231" s="395">
        <v>4832</v>
      </c>
      <c r="G231" s="395">
        <v>9305</v>
      </c>
      <c r="H231" s="395">
        <v>4453</v>
      </c>
      <c r="I231" s="395">
        <v>4815</v>
      </c>
      <c r="J231" s="395">
        <v>9268</v>
      </c>
      <c r="K231" t="str">
        <f t="shared" si="3"/>
        <v>Ruffano</v>
      </c>
    </row>
    <row r="232" spans="1:11">
      <c r="A232" s="394" t="s">
        <v>857</v>
      </c>
      <c r="B232" s="395">
        <v>3727</v>
      </c>
      <c r="C232" s="395">
        <v>4014</v>
      </c>
      <c r="D232" s="395">
        <v>7741</v>
      </c>
      <c r="E232" s="395">
        <v>3737</v>
      </c>
      <c r="F232" s="395">
        <v>3995</v>
      </c>
      <c r="G232" s="395">
        <v>7732</v>
      </c>
      <c r="H232" s="395">
        <v>3684</v>
      </c>
      <c r="I232" s="395">
        <v>3927</v>
      </c>
      <c r="J232" s="395">
        <v>7611</v>
      </c>
      <c r="K232" t="str">
        <f t="shared" si="3"/>
        <v>Salice Salentino</v>
      </c>
    </row>
    <row r="233" spans="1:11">
      <c r="A233" s="394" t="s">
        <v>858</v>
      </c>
      <c r="B233" s="395">
        <v>2187</v>
      </c>
      <c r="C233" s="395">
        <v>2370</v>
      </c>
      <c r="D233" s="395">
        <v>4557</v>
      </c>
      <c r="E233" s="395">
        <v>2191</v>
      </c>
      <c r="F233" s="395">
        <v>2380</v>
      </c>
      <c r="G233" s="395">
        <v>4571</v>
      </c>
      <c r="H233" s="395">
        <v>2175</v>
      </c>
      <c r="I233" s="395">
        <v>2368</v>
      </c>
      <c r="J233" s="395">
        <v>4543</v>
      </c>
      <c r="K233" t="str">
        <f t="shared" si="3"/>
        <v>Salve</v>
      </c>
    </row>
    <row r="234" spans="1:11">
      <c r="A234" s="394" t="s">
        <v>859</v>
      </c>
      <c r="B234" s="395">
        <v>980</v>
      </c>
      <c r="C234" s="395">
        <v>979</v>
      </c>
      <c r="D234" s="395">
        <v>1959</v>
      </c>
      <c r="E234" s="395">
        <v>976</v>
      </c>
      <c r="F234" s="395">
        <v>965</v>
      </c>
      <c r="G234" s="395">
        <v>1941</v>
      </c>
      <c r="H234" s="395">
        <v>980</v>
      </c>
      <c r="I234" s="395">
        <v>964</v>
      </c>
      <c r="J234" s="395">
        <v>1944</v>
      </c>
      <c r="K234" t="str">
        <f t="shared" si="3"/>
        <v>San Cassiano</v>
      </c>
    </row>
    <row r="235" spans="1:11">
      <c r="A235" s="394" t="s">
        <v>860</v>
      </c>
      <c r="B235" s="395">
        <v>3787</v>
      </c>
      <c r="C235" s="395">
        <v>4117</v>
      </c>
      <c r="D235" s="395">
        <v>7904</v>
      </c>
      <c r="E235" s="395">
        <v>3780</v>
      </c>
      <c r="F235" s="395">
        <v>4107</v>
      </c>
      <c r="G235" s="395">
        <v>7887</v>
      </c>
      <c r="H235" s="395">
        <v>3753</v>
      </c>
      <c r="I235" s="395">
        <v>4111</v>
      </c>
      <c r="J235" s="395">
        <v>7864</v>
      </c>
      <c r="K235" t="str">
        <f t="shared" si="3"/>
        <v>San Cesario di Lecce</v>
      </c>
    </row>
    <row r="236" spans="1:11">
      <c r="A236" s="394" t="s">
        <v>861</v>
      </c>
      <c r="B236" s="395">
        <v>2551</v>
      </c>
      <c r="C236" s="395">
        <v>2885</v>
      </c>
      <c r="D236" s="395">
        <v>5436</v>
      </c>
      <c r="E236" s="395">
        <v>2543</v>
      </c>
      <c r="F236" s="395">
        <v>2870</v>
      </c>
      <c r="G236" s="395">
        <v>5413</v>
      </c>
      <c r="H236" s="395">
        <v>2532</v>
      </c>
      <c r="I236" s="395">
        <v>2838</v>
      </c>
      <c r="J236" s="395">
        <v>5370</v>
      </c>
      <c r="K236" t="str">
        <f t="shared" si="3"/>
        <v>San Donato di Lecce</v>
      </c>
    </row>
    <row r="237" spans="1:11">
      <c r="A237" s="394" t="s">
        <v>862</v>
      </c>
      <c r="B237" s="395">
        <v>1588</v>
      </c>
      <c r="C237" s="395">
        <v>1798</v>
      </c>
      <c r="D237" s="395">
        <v>3386</v>
      </c>
      <c r="E237" s="395">
        <v>1593</v>
      </c>
      <c r="F237" s="395">
        <v>1776</v>
      </c>
      <c r="G237" s="395">
        <v>3369</v>
      </c>
      <c r="H237" s="395">
        <v>1592</v>
      </c>
      <c r="I237" s="395">
        <v>1752</v>
      </c>
      <c r="J237" s="395">
        <v>3344</v>
      </c>
      <c r="K237" t="str">
        <f t="shared" si="3"/>
        <v>San Pietro in Lama</v>
      </c>
    </row>
    <row r="238" spans="1:11">
      <c r="A238" s="394" t="s">
        <v>863</v>
      </c>
      <c r="B238" s="395">
        <v>712</v>
      </c>
      <c r="C238" s="395">
        <v>768</v>
      </c>
      <c r="D238" s="395">
        <v>1480</v>
      </c>
      <c r="E238" s="395">
        <v>709</v>
      </c>
      <c r="F238" s="395">
        <v>766</v>
      </c>
      <c r="G238" s="395">
        <v>1475</v>
      </c>
      <c r="H238" s="395">
        <v>703</v>
      </c>
      <c r="I238" s="395">
        <v>763</v>
      </c>
      <c r="J238" s="395">
        <v>1466</v>
      </c>
      <c r="K238" t="str">
        <f t="shared" si="3"/>
        <v>Sanarica</v>
      </c>
    </row>
    <row r="239" spans="1:11">
      <c r="A239" s="394" t="s">
        <v>864</v>
      </c>
      <c r="B239" s="395">
        <v>2690</v>
      </c>
      <c r="C239" s="395">
        <v>2898</v>
      </c>
      <c r="D239" s="395">
        <v>5588</v>
      </c>
      <c r="E239" s="395">
        <v>2687</v>
      </c>
      <c r="F239" s="395">
        <v>2884</v>
      </c>
      <c r="G239" s="395">
        <v>5571</v>
      </c>
      <c r="H239" s="395">
        <v>2656</v>
      </c>
      <c r="I239" s="395">
        <v>2869</v>
      </c>
      <c r="J239" s="395">
        <v>5525</v>
      </c>
      <c r="K239" t="str">
        <f t="shared" si="3"/>
        <v>Sannicola</v>
      </c>
    </row>
    <row r="240" spans="1:11">
      <c r="A240" s="394" t="s">
        <v>865</v>
      </c>
      <c r="B240" s="395">
        <v>1327</v>
      </c>
      <c r="C240" s="395">
        <v>1485</v>
      </c>
      <c r="D240" s="395">
        <v>2812</v>
      </c>
      <c r="E240" s="395">
        <v>1324</v>
      </c>
      <c r="F240" s="395">
        <v>1503</v>
      </c>
      <c r="G240" s="395">
        <v>2827</v>
      </c>
      <c r="H240" s="395">
        <v>1310</v>
      </c>
      <c r="I240" s="395">
        <v>1495</v>
      </c>
      <c r="J240" s="395">
        <v>2805</v>
      </c>
      <c r="K240" t="str">
        <f t="shared" si="3"/>
        <v>Santa Cesarea Terme</v>
      </c>
    </row>
    <row r="241" spans="1:11">
      <c r="A241" s="394" t="s">
        <v>866</v>
      </c>
      <c r="B241" s="395">
        <v>3243</v>
      </c>
      <c r="C241" s="395">
        <v>3414</v>
      </c>
      <c r="D241" s="395">
        <v>6657</v>
      </c>
      <c r="E241" s="395">
        <v>3219</v>
      </c>
      <c r="F241" s="395">
        <v>3395</v>
      </c>
      <c r="G241" s="395">
        <v>6614</v>
      </c>
      <c r="H241" s="395">
        <v>3193</v>
      </c>
      <c r="I241" s="395">
        <v>3373</v>
      </c>
      <c r="J241" s="395">
        <v>6566</v>
      </c>
      <c r="K241" t="str">
        <f t="shared" si="3"/>
        <v>Scorrano</v>
      </c>
    </row>
    <row r="242" spans="1:11">
      <c r="A242" s="394" t="s">
        <v>867</v>
      </c>
      <c r="B242" s="395">
        <v>871</v>
      </c>
      <c r="C242" s="395">
        <v>953</v>
      </c>
      <c r="D242" s="395">
        <v>1824</v>
      </c>
      <c r="E242" s="395">
        <v>863</v>
      </c>
      <c r="F242" s="395">
        <v>955</v>
      </c>
      <c r="G242" s="395">
        <v>1818</v>
      </c>
      <c r="H242" s="395">
        <v>860</v>
      </c>
      <c r="I242" s="395">
        <v>955</v>
      </c>
      <c r="J242" s="395">
        <v>1815</v>
      </c>
      <c r="K242" t="str">
        <f t="shared" si="3"/>
        <v>Seclì</v>
      </c>
    </row>
    <row r="243" spans="1:11">
      <c r="A243" s="394" t="s">
        <v>868</v>
      </c>
      <c r="B243" s="395">
        <v>1934</v>
      </c>
      <c r="C243" s="395">
        <v>1943</v>
      </c>
      <c r="D243" s="395">
        <v>3877</v>
      </c>
      <c r="E243" s="395">
        <v>1928</v>
      </c>
      <c r="F243" s="395">
        <v>1935</v>
      </c>
      <c r="G243" s="395">
        <v>3863</v>
      </c>
      <c r="H243" s="395">
        <v>1925</v>
      </c>
      <c r="I243" s="395">
        <v>1918</v>
      </c>
      <c r="J243" s="395">
        <v>3843</v>
      </c>
      <c r="K243" t="str">
        <f t="shared" si="3"/>
        <v>Sogliano Cavour</v>
      </c>
    </row>
    <row r="244" spans="1:11">
      <c r="A244" s="394" t="s">
        <v>869</v>
      </c>
      <c r="B244" s="395">
        <v>2478</v>
      </c>
      <c r="C244" s="395">
        <v>2703</v>
      </c>
      <c r="D244" s="395">
        <v>5181</v>
      </c>
      <c r="E244" s="395">
        <v>2467</v>
      </c>
      <c r="F244" s="395">
        <v>2664</v>
      </c>
      <c r="G244" s="395">
        <v>5131</v>
      </c>
      <c r="H244" s="395">
        <v>2464</v>
      </c>
      <c r="I244" s="395">
        <v>2636</v>
      </c>
      <c r="J244" s="395">
        <v>5100</v>
      </c>
      <c r="K244" t="str">
        <f t="shared" si="3"/>
        <v>Soleto</v>
      </c>
    </row>
    <row r="245" spans="1:11">
      <c r="A245" s="394" t="s">
        <v>870</v>
      </c>
      <c r="B245" s="395">
        <v>2193</v>
      </c>
      <c r="C245" s="395">
        <v>2383</v>
      </c>
      <c r="D245" s="395">
        <v>4576</v>
      </c>
      <c r="E245" s="395">
        <v>2190</v>
      </c>
      <c r="F245" s="395">
        <v>2350</v>
      </c>
      <c r="G245" s="395">
        <v>4540</v>
      </c>
      <c r="H245" s="395">
        <v>2176</v>
      </c>
      <c r="I245" s="395">
        <v>2327</v>
      </c>
      <c r="J245" s="395">
        <v>4503</v>
      </c>
      <c r="K245" t="str">
        <f t="shared" si="3"/>
        <v>Specchia</v>
      </c>
    </row>
    <row r="246" spans="1:11">
      <c r="A246" s="394" t="s">
        <v>871</v>
      </c>
      <c r="B246" s="395">
        <v>1653</v>
      </c>
      <c r="C246" s="395">
        <v>1818</v>
      </c>
      <c r="D246" s="395">
        <v>3471</v>
      </c>
      <c r="E246" s="395">
        <v>1646</v>
      </c>
      <c r="F246" s="395">
        <v>1785</v>
      </c>
      <c r="G246" s="395">
        <v>3431</v>
      </c>
      <c r="H246" s="395">
        <v>1631</v>
      </c>
      <c r="I246" s="395">
        <v>1767</v>
      </c>
      <c r="J246" s="395">
        <v>3398</v>
      </c>
      <c r="K246" t="str">
        <f t="shared" si="3"/>
        <v>Spongano</v>
      </c>
    </row>
    <row r="247" spans="1:11">
      <c r="A247" s="394" t="s">
        <v>872</v>
      </c>
      <c r="B247" s="395">
        <v>6428</v>
      </c>
      <c r="C247" s="395">
        <v>6945</v>
      </c>
      <c r="D247" s="395">
        <v>13373</v>
      </c>
      <c r="E247" s="395">
        <v>6432</v>
      </c>
      <c r="F247" s="395">
        <v>6947</v>
      </c>
      <c r="G247" s="395">
        <v>13379</v>
      </c>
      <c r="H247" s="395">
        <v>6421</v>
      </c>
      <c r="I247" s="395">
        <v>6874</v>
      </c>
      <c r="J247" s="395">
        <v>13295</v>
      </c>
      <c r="K247" t="str">
        <f t="shared" si="3"/>
        <v>Squinzano</v>
      </c>
    </row>
    <row r="248" spans="1:11">
      <c r="A248" s="394" t="s">
        <v>873</v>
      </c>
      <c r="B248" s="395">
        <v>1003</v>
      </c>
      <c r="C248" s="395">
        <v>1153</v>
      </c>
      <c r="D248" s="395">
        <v>2156</v>
      </c>
      <c r="E248" s="395">
        <v>982</v>
      </c>
      <c r="F248" s="395">
        <v>1133</v>
      </c>
      <c r="G248" s="395">
        <v>2115</v>
      </c>
      <c r="H248" s="395">
        <v>975</v>
      </c>
      <c r="I248" s="395">
        <v>1114</v>
      </c>
      <c r="J248" s="395">
        <v>2089</v>
      </c>
      <c r="K248" t="str">
        <f t="shared" si="3"/>
        <v>Sternatia</v>
      </c>
    </row>
    <row r="249" spans="1:11">
      <c r="A249" s="394" t="s">
        <v>874</v>
      </c>
      <c r="B249" s="395">
        <v>2056</v>
      </c>
      <c r="C249" s="395">
        <v>2106</v>
      </c>
      <c r="D249" s="395">
        <v>4162</v>
      </c>
      <c r="E249" s="395">
        <v>2040</v>
      </c>
      <c r="F249" s="395">
        <v>2078</v>
      </c>
      <c r="G249" s="395">
        <v>4118</v>
      </c>
      <c r="H249" s="395">
        <v>2017</v>
      </c>
      <c r="I249" s="395">
        <v>2046</v>
      </c>
      <c r="J249" s="395">
        <v>4063</v>
      </c>
      <c r="K249" t="str">
        <f t="shared" si="3"/>
        <v>Supersano</v>
      </c>
    </row>
    <row r="250" spans="1:11">
      <c r="A250" s="394" t="s">
        <v>875</v>
      </c>
      <c r="B250" s="395">
        <v>721</v>
      </c>
      <c r="C250" s="395">
        <v>804</v>
      </c>
      <c r="D250" s="395">
        <v>1525</v>
      </c>
      <c r="E250" s="395">
        <v>718</v>
      </c>
      <c r="F250" s="395">
        <v>794</v>
      </c>
      <c r="G250" s="395">
        <v>1512</v>
      </c>
      <c r="H250" s="395">
        <v>707</v>
      </c>
      <c r="I250" s="395">
        <v>773</v>
      </c>
      <c r="J250" s="395">
        <v>1480</v>
      </c>
      <c r="K250" t="str">
        <f t="shared" si="3"/>
        <v>Surano</v>
      </c>
    </row>
    <row r="251" spans="1:11">
      <c r="A251" s="394" t="s">
        <v>876</v>
      </c>
      <c r="B251" s="395">
        <v>7130</v>
      </c>
      <c r="C251" s="395">
        <v>7539</v>
      </c>
      <c r="D251" s="395">
        <v>14669</v>
      </c>
      <c r="E251" s="395">
        <v>7101</v>
      </c>
      <c r="F251" s="395">
        <v>7502</v>
      </c>
      <c r="G251" s="395">
        <v>14603</v>
      </c>
      <c r="H251" s="395">
        <v>7065</v>
      </c>
      <c r="I251" s="395">
        <v>7455</v>
      </c>
      <c r="J251" s="395">
        <v>14520</v>
      </c>
      <c r="K251" t="str">
        <f t="shared" si="3"/>
        <v>Surbo</v>
      </c>
    </row>
    <row r="252" spans="1:11">
      <c r="A252" s="394" t="s">
        <v>877</v>
      </c>
      <c r="B252" s="395">
        <v>5455</v>
      </c>
      <c r="C252" s="395">
        <v>5843</v>
      </c>
      <c r="D252" s="395">
        <v>11298</v>
      </c>
      <c r="E252" s="395">
        <v>5421</v>
      </c>
      <c r="F252" s="395">
        <v>5821</v>
      </c>
      <c r="G252" s="395">
        <v>11242</v>
      </c>
      <c r="H252" s="395">
        <v>5387</v>
      </c>
      <c r="I252" s="395">
        <v>5769</v>
      </c>
      <c r="J252" s="395">
        <v>11156</v>
      </c>
      <c r="K252" t="str">
        <f t="shared" si="3"/>
        <v>Taurisano</v>
      </c>
    </row>
    <row r="253" spans="1:11">
      <c r="A253" s="394" t="s">
        <v>878</v>
      </c>
      <c r="B253" s="395">
        <v>5516</v>
      </c>
      <c r="C253" s="395">
        <v>5995</v>
      </c>
      <c r="D253" s="395">
        <v>11511</v>
      </c>
      <c r="E253" s="395">
        <v>5493</v>
      </c>
      <c r="F253" s="395">
        <v>5956</v>
      </c>
      <c r="G253" s="395">
        <v>11449</v>
      </c>
      <c r="H253" s="395">
        <v>5448</v>
      </c>
      <c r="I253" s="395">
        <v>5928</v>
      </c>
      <c r="J253" s="395">
        <v>11376</v>
      </c>
      <c r="K253" t="str">
        <f t="shared" si="3"/>
        <v>Taviano</v>
      </c>
    </row>
    <row r="254" spans="1:11">
      <c r="A254" s="394" t="s">
        <v>879</v>
      </c>
      <c r="B254" s="395">
        <v>1380</v>
      </c>
      <c r="C254" s="395">
        <v>1382</v>
      </c>
      <c r="D254" s="395">
        <v>2762</v>
      </c>
      <c r="E254" s="395">
        <v>1407</v>
      </c>
      <c r="F254" s="395">
        <v>1392</v>
      </c>
      <c r="G254" s="395">
        <v>2799</v>
      </c>
      <c r="H254" s="395">
        <v>1435</v>
      </c>
      <c r="I254" s="395">
        <v>1397</v>
      </c>
      <c r="J254" s="395">
        <v>2832</v>
      </c>
      <c r="K254" t="str">
        <f t="shared" si="3"/>
        <v>Tiggiano</v>
      </c>
    </row>
    <row r="255" spans="1:11">
      <c r="A255" s="394" t="s">
        <v>880</v>
      </c>
      <c r="B255" s="395">
        <v>6633</v>
      </c>
      <c r="C255" s="395">
        <v>7281</v>
      </c>
      <c r="D255" s="395">
        <v>13914</v>
      </c>
      <c r="E255" s="395">
        <v>6548</v>
      </c>
      <c r="F255" s="395">
        <v>7235</v>
      </c>
      <c r="G255" s="395">
        <v>13783</v>
      </c>
      <c r="H255" s="395">
        <v>6542</v>
      </c>
      <c r="I255" s="395">
        <v>7179</v>
      </c>
      <c r="J255" s="395">
        <v>13721</v>
      </c>
      <c r="K255" t="str">
        <f t="shared" si="3"/>
        <v>Trepuzzi</v>
      </c>
    </row>
    <row r="256" spans="1:11">
      <c r="A256" s="394" t="s">
        <v>881</v>
      </c>
      <c r="B256" s="395">
        <v>8239</v>
      </c>
      <c r="C256" s="395">
        <v>8846</v>
      </c>
      <c r="D256" s="395">
        <v>17085</v>
      </c>
      <c r="E256" s="395">
        <v>8215</v>
      </c>
      <c r="F256" s="395">
        <v>8775</v>
      </c>
      <c r="G256" s="395">
        <v>16990</v>
      </c>
      <c r="H256" s="395">
        <v>8184</v>
      </c>
      <c r="I256" s="395">
        <v>8729</v>
      </c>
      <c r="J256" s="395">
        <v>16913</v>
      </c>
      <c r="K256" t="str">
        <f t="shared" si="3"/>
        <v>Tricase</v>
      </c>
    </row>
    <row r="257" spans="1:11">
      <c r="A257" s="394" t="s">
        <v>882</v>
      </c>
      <c r="B257" s="395">
        <v>2438</v>
      </c>
      <c r="C257" s="395">
        <v>2596</v>
      </c>
      <c r="D257" s="395">
        <v>5034</v>
      </c>
      <c r="E257" s="395">
        <v>2461</v>
      </c>
      <c r="F257" s="395">
        <v>2593</v>
      </c>
      <c r="G257" s="395">
        <v>5054</v>
      </c>
      <c r="H257" s="395">
        <v>2455</v>
      </c>
      <c r="I257" s="395">
        <v>2570</v>
      </c>
      <c r="J257" s="395">
        <v>5025</v>
      </c>
      <c r="K257" t="str">
        <f t="shared" si="3"/>
        <v>Tuglie</v>
      </c>
    </row>
    <row r="258" spans="1:11">
      <c r="A258" s="394" t="s">
        <v>883</v>
      </c>
      <c r="B258" s="395">
        <v>5795</v>
      </c>
      <c r="C258" s="395">
        <v>6212</v>
      </c>
      <c r="D258" s="395">
        <v>12007</v>
      </c>
      <c r="E258" s="395">
        <v>5800</v>
      </c>
      <c r="F258" s="395">
        <v>6170</v>
      </c>
      <c r="G258" s="395">
        <v>11970</v>
      </c>
      <c r="H258" s="395">
        <v>5777</v>
      </c>
      <c r="I258" s="395">
        <v>6122</v>
      </c>
      <c r="J258" s="395">
        <v>11899</v>
      </c>
      <c r="K258" t="str">
        <f t="shared" si="3"/>
        <v>Ugento</v>
      </c>
    </row>
    <row r="259" spans="1:11">
      <c r="A259" s="394" t="s">
        <v>884</v>
      </c>
      <c r="B259" s="395">
        <v>2062</v>
      </c>
      <c r="C259" s="395">
        <v>2257</v>
      </c>
      <c r="D259" s="395">
        <v>4319</v>
      </c>
      <c r="E259" s="395">
        <v>2053</v>
      </c>
      <c r="F259" s="395">
        <v>2264</v>
      </c>
      <c r="G259" s="395">
        <v>4317</v>
      </c>
      <c r="H259" s="395">
        <v>2062</v>
      </c>
      <c r="I259" s="395">
        <v>2257</v>
      </c>
      <c r="J259" s="395">
        <v>4319</v>
      </c>
      <c r="K259" t="str">
        <f t="shared" si="3"/>
        <v>Uggiano la Chiesa</v>
      </c>
    </row>
    <row r="260" spans="1:11">
      <c r="A260" s="394" t="s">
        <v>885</v>
      </c>
      <c r="B260" s="395">
        <v>6473</v>
      </c>
      <c r="C260" s="395">
        <v>6894</v>
      </c>
      <c r="D260" s="395">
        <v>13367</v>
      </c>
      <c r="E260" s="395">
        <v>6394</v>
      </c>
      <c r="F260" s="395">
        <v>6843</v>
      </c>
      <c r="G260" s="395">
        <v>13237</v>
      </c>
      <c r="H260" s="395">
        <v>6342</v>
      </c>
      <c r="I260" s="395">
        <v>6763</v>
      </c>
      <c r="J260" s="395">
        <v>13105</v>
      </c>
      <c r="K260" t="str">
        <f t="shared" si="3"/>
        <v>Veglie</v>
      </c>
    </row>
    <row r="261" spans="1:11">
      <c r="A261" s="394" t="s">
        <v>886</v>
      </c>
      <c r="B261" s="395">
        <v>3216</v>
      </c>
      <c r="C261" s="395">
        <v>3513</v>
      </c>
      <c r="D261" s="395">
        <v>6729</v>
      </c>
      <c r="E261" s="395">
        <v>3174</v>
      </c>
      <c r="F261" s="395">
        <v>3472</v>
      </c>
      <c r="G261" s="395">
        <v>6646</v>
      </c>
      <c r="H261" s="395">
        <v>3137</v>
      </c>
      <c r="I261" s="395">
        <v>3426</v>
      </c>
      <c r="J261" s="395">
        <v>6563</v>
      </c>
      <c r="K261" t="str">
        <f t="shared" si="3"/>
        <v>Vernole</v>
      </c>
    </row>
    <row r="262" spans="1:11">
      <c r="A262" s="394" t="s">
        <v>887</v>
      </c>
      <c r="B262" s="395">
        <v>882</v>
      </c>
      <c r="C262" s="395">
        <v>971</v>
      </c>
      <c r="D262" s="395">
        <v>1853</v>
      </c>
      <c r="E262" s="395">
        <v>871</v>
      </c>
      <c r="F262" s="395">
        <v>967</v>
      </c>
      <c r="G262" s="395">
        <v>1838</v>
      </c>
      <c r="H262" s="395">
        <v>870</v>
      </c>
      <c r="I262" s="395">
        <v>951</v>
      </c>
      <c r="J262" s="395">
        <v>1821</v>
      </c>
      <c r="K262" t="str">
        <f t="shared" si="3"/>
        <v>Zollino</v>
      </c>
    </row>
    <row r="263" spans="1:11" ht="25.5">
      <c r="A263" s="396" t="s">
        <v>904</v>
      </c>
      <c r="B263" s="395">
        <v>187511</v>
      </c>
      <c r="C263" s="395">
        <v>191998</v>
      </c>
      <c r="D263" s="395">
        <v>379509</v>
      </c>
      <c r="E263" s="395">
        <v>186733</v>
      </c>
      <c r="F263" s="395">
        <v>191196</v>
      </c>
      <c r="G263" s="395">
        <v>377929</v>
      </c>
      <c r="H263" s="395">
        <v>186117</v>
      </c>
      <c r="I263" s="395">
        <v>190444</v>
      </c>
      <c r="J263" s="395">
        <v>376561</v>
      </c>
      <c r="K263" t="str">
        <f t="shared" si="3"/>
        <v>Provincia Barletta-Andria-Trani</v>
      </c>
    </row>
    <row r="264" spans="1:11">
      <c r="A264" s="394" t="s">
        <v>888</v>
      </c>
      <c r="B264" s="395">
        <v>48029</v>
      </c>
      <c r="C264" s="395">
        <v>49317</v>
      </c>
      <c r="D264" s="395">
        <v>97346</v>
      </c>
      <c r="E264" s="395">
        <v>47804</v>
      </c>
      <c r="F264" s="395">
        <v>49137</v>
      </c>
      <c r="G264" s="395">
        <v>96941</v>
      </c>
      <c r="H264" s="395">
        <v>47594</v>
      </c>
      <c r="I264" s="395">
        <v>49013</v>
      </c>
      <c r="J264" s="395">
        <v>96607</v>
      </c>
      <c r="K264" t="str">
        <f t="shared" si="3"/>
        <v>Andria</v>
      </c>
    </row>
    <row r="265" spans="1:11">
      <c r="A265" s="394" t="s">
        <v>889</v>
      </c>
      <c r="B265" s="395">
        <v>45924</v>
      </c>
      <c r="C265" s="395">
        <v>46703</v>
      </c>
      <c r="D265" s="395">
        <v>92627</v>
      </c>
      <c r="E265" s="395">
        <v>45741</v>
      </c>
      <c r="F265" s="395">
        <v>46624</v>
      </c>
      <c r="G265" s="395">
        <v>92365</v>
      </c>
      <c r="H265" s="395">
        <v>45604</v>
      </c>
      <c r="I265" s="395">
        <v>46406</v>
      </c>
      <c r="J265" s="395">
        <v>92010</v>
      </c>
      <c r="K265" t="str">
        <f t="shared" si="3"/>
        <v>Barletta</v>
      </c>
    </row>
    <row r="266" spans="1:11">
      <c r="A266" s="394" t="s">
        <v>890</v>
      </c>
      <c r="B266" s="395">
        <v>26521</v>
      </c>
      <c r="C266" s="395">
        <v>27143</v>
      </c>
      <c r="D266" s="395">
        <v>53664</v>
      </c>
      <c r="E266" s="395">
        <v>26447</v>
      </c>
      <c r="F266" s="395">
        <v>27089</v>
      </c>
      <c r="G266" s="395">
        <v>53536</v>
      </c>
      <c r="H266" s="395">
        <v>26392</v>
      </c>
      <c r="I266" s="395">
        <v>26970</v>
      </c>
      <c r="J266" s="395">
        <v>53362</v>
      </c>
      <c r="K266" t="str">
        <f t="shared" si="3"/>
        <v>Bisceglie</v>
      </c>
    </row>
    <row r="267" spans="1:11">
      <c r="A267" s="394" t="s">
        <v>891</v>
      </c>
      <c r="B267" s="395">
        <v>13875</v>
      </c>
      <c r="C267" s="395">
        <v>14123</v>
      </c>
      <c r="D267" s="395">
        <v>27998</v>
      </c>
      <c r="E267" s="395">
        <v>13730</v>
      </c>
      <c r="F267" s="395">
        <v>13971</v>
      </c>
      <c r="G267" s="395">
        <v>27701</v>
      </c>
      <c r="H267" s="395">
        <v>13654</v>
      </c>
      <c r="I267" s="395">
        <v>13812</v>
      </c>
      <c r="J267" s="395">
        <v>27466</v>
      </c>
      <c r="K267" t="str">
        <f t="shared" ref="K267:K273" si="4">TRIM(A267)</f>
        <v>Canosa di Puglia</v>
      </c>
    </row>
    <row r="268" spans="1:11">
      <c r="A268" s="394" t="s">
        <v>892</v>
      </c>
      <c r="B268" s="395">
        <v>5464</v>
      </c>
      <c r="C268" s="395">
        <v>5704</v>
      </c>
      <c r="D268" s="395">
        <v>11168</v>
      </c>
      <c r="E268" s="395">
        <v>5457</v>
      </c>
      <c r="F268" s="395">
        <v>5697</v>
      </c>
      <c r="G268" s="395">
        <v>11154</v>
      </c>
      <c r="H268" s="395">
        <v>5392</v>
      </c>
      <c r="I268" s="395">
        <v>5671</v>
      </c>
      <c r="J268" s="395">
        <v>11063</v>
      </c>
      <c r="K268" t="str">
        <f t="shared" si="4"/>
        <v>Margherita di Savoia</v>
      </c>
    </row>
    <row r="269" spans="1:11">
      <c r="A269" s="394" t="s">
        <v>893</v>
      </c>
      <c r="B269" s="395">
        <v>4032</v>
      </c>
      <c r="C269" s="395">
        <v>4158</v>
      </c>
      <c r="D269" s="395">
        <v>8190</v>
      </c>
      <c r="E269" s="395">
        <v>3962</v>
      </c>
      <c r="F269" s="395">
        <v>4088</v>
      </c>
      <c r="G269" s="395">
        <v>8050</v>
      </c>
      <c r="H269" s="395">
        <v>3902</v>
      </c>
      <c r="I269" s="395">
        <v>4031</v>
      </c>
      <c r="J269" s="395">
        <v>7933</v>
      </c>
      <c r="K269" t="str">
        <f t="shared" si="4"/>
        <v>Minervino Murge</v>
      </c>
    </row>
    <row r="270" spans="1:11">
      <c r="A270" s="394" t="s">
        <v>894</v>
      </c>
      <c r="B270" s="395">
        <v>6837</v>
      </c>
      <c r="C270" s="395">
        <v>6834</v>
      </c>
      <c r="D270" s="395">
        <v>13671</v>
      </c>
      <c r="E270" s="395">
        <v>6837</v>
      </c>
      <c r="F270" s="395">
        <v>6788</v>
      </c>
      <c r="G270" s="395">
        <v>13625</v>
      </c>
      <c r="H270" s="395">
        <v>6971</v>
      </c>
      <c r="I270" s="395">
        <v>6939</v>
      </c>
      <c r="J270" s="395">
        <v>13910</v>
      </c>
      <c r="K270" t="str">
        <f t="shared" si="4"/>
        <v>San Ferdinando di Puglia</v>
      </c>
    </row>
    <row r="271" spans="1:11">
      <c r="A271" s="394" t="s">
        <v>895</v>
      </c>
      <c r="B271" s="395">
        <v>2869</v>
      </c>
      <c r="C271" s="395">
        <v>3068</v>
      </c>
      <c r="D271" s="395">
        <v>5937</v>
      </c>
      <c r="E271" s="395">
        <v>2881</v>
      </c>
      <c r="F271" s="395">
        <v>3013</v>
      </c>
      <c r="G271" s="395">
        <v>5894</v>
      </c>
      <c r="H271" s="395">
        <v>2865</v>
      </c>
      <c r="I271" s="395">
        <v>2959</v>
      </c>
      <c r="J271" s="395">
        <v>5824</v>
      </c>
      <c r="K271" t="str">
        <f t="shared" si="4"/>
        <v>Spinazzola</v>
      </c>
    </row>
    <row r="272" spans="1:11">
      <c r="A272" s="394" t="s">
        <v>896</v>
      </c>
      <c r="B272" s="395">
        <v>27201</v>
      </c>
      <c r="C272" s="395">
        <v>27862</v>
      </c>
      <c r="D272" s="395">
        <v>55063</v>
      </c>
      <c r="E272" s="395">
        <v>27163</v>
      </c>
      <c r="F272" s="395">
        <v>27785</v>
      </c>
      <c r="G272" s="395">
        <v>54948</v>
      </c>
      <c r="H272" s="395">
        <v>27069</v>
      </c>
      <c r="I272" s="395">
        <v>27682</v>
      </c>
      <c r="J272" s="395">
        <v>54751</v>
      </c>
      <c r="K272" t="str">
        <f t="shared" si="4"/>
        <v>Trani</v>
      </c>
    </row>
    <row r="273" spans="1:11">
      <c r="A273" s="394" t="s">
        <v>897</v>
      </c>
      <c r="B273" s="395">
        <v>6759</v>
      </c>
      <c r="C273" s="395">
        <v>7086</v>
      </c>
      <c r="D273" s="395">
        <v>13845</v>
      </c>
      <c r="E273" s="395">
        <v>6711</v>
      </c>
      <c r="F273" s="395">
        <v>7004</v>
      </c>
      <c r="G273" s="395">
        <v>13715</v>
      </c>
      <c r="H273" s="395">
        <v>6674</v>
      </c>
      <c r="I273" s="395">
        <v>6961</v>
      </c>
      <c r="J273" s="395">
        <v>13635</v>
      </c>
      <c r="K273" t="str">
        <f t="shared" si="4"/>
        <v>Trinitapoli</v>
      </c>
    </row>
  </sheetData>
  <mergeCells count="4">
    <mergeCell ref="B7:D7"/>
    <mergeCell ref="E7:G7"/>
    <mergeCell ref="H7:J7"/>
    <mergeCell ref="B9:J9"/>
  </mergeCells>
  <pageMargins left="0.7" right="0.7" top="0.75" bottom="0.75" header="0.3" footer="0.3"/>
  <pageSetup paperSize="9" orientation="portrait" horizontalDpi="0" verticalDpi="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808F3-E65F-8C42-A687-EF18FCD06B63}">
  <dimension ref="A7:AJ14"/>
  <sheetViews>
    <sheetView workbookViewId="0">
      <selection activeCell="N12" sqref="N12"/>
    </sheetView>
  </sheetViews>
  <sheetFormatPr defaultColWidth="8.85546875" defaultRowHeight="12.75"/>
  <cols>
    <col min="1" max="1" width="21.7109375" bestFit="1" customWidth="1"/>
    <col min="2" max="34" width="11.7109375" customWidth="1"/>
  </cols>
  <sheetData>
    <row r="7" spans="1:36" s="268" customFormat="1" ht="18" customHeight="1" thickBot="1">
      <c r="A7" s="326" t="s">
        <v>45</v>
      </c>
      <c r="B7" s="327" t="s">
        <v>144</v>
      </c>
      <c r="C7" s="327" t="s">
        <v>145</v>
      </c>
      <c r="D7" s="327" t="s">
        <v>146</v>
      </c>
      <c r="E7" s="327" t="s">
        <v>147</v>
      </c>
      <c r="F7" s="327" t="s">
        <v>148</v>
      </c>
      <c r="G7" s="327" t="s">
        <v>149</v>
      </c>
      <c r="H7" s="327" t="s">
        <v>150</v>
      </c>
      <c r="I7" s="327" t="s">
        <v>151</v>
      </c>
      <c r="J7" s="327" t="s">
        <v>152</v>
      </c>
      <c r="K7" s="327" t="s">
        <v>153</v>
      </c>
      <c r="L7" s="327" t="s">
        <v>154</v>
      </c>
      <c r="M7" s="327" t="s">
        <v>155</v>
      </c>
      <c r="N7" s="327" t="s">
        <v>156</v>
      </c>
      <c r="O7" s="327" t="s">
        <v>157</v>
      </c>
      <c r="P7" s="327" t="s">
        <v>158</v>
      </c>
      <c r="Q7" s="327" t="s">
        <v>159</v>
      </c>
      <c r="R7" s="327" t="s">
        <v>160</v>
      </c>
      <c r="S7" s="327" t="s">
        <v>161</v>
      </c>
      <c r="T7" s="327" t="s">
        <v>162</v>
      </c>
      <c r="U7" s="327" t="s">
        <v>163</v>
      </c>
      <c r="V7" s="327" t="s">
        <v>164</v>
      </c>
      <c r="W7" s="327" t="s">
        <v>165</v>
      </c>
      <c r="X7" s="327" t="s">
        <v>166</v>
      </c>
      <c r="Y7" s="327" t="s">
        <v>167</v>
      </c>
      <c r="Z7" s="327" t="s">
        <v>168</v>
      </c>
      <c r="AA7" s="327" t="s">
        <v>169</v>
      </c>
      <c r="AB7" s="327" t="s">
        <v>170</v>
      </c>
      <c r="AC7" s="327" t="s">
        <v>171</v>
      </c>
      <c r="AD7" s="327" t="s">
        <v>172</v>
      </c>
      <c r="AE7" s="327" t="s">
        <v>173</v>
      </c>
      <c r="AF7" s="327" t="s">
        <v>174</v>
      </c>
      <c r="AG7" s="327" t="s">
        <v>175</v>
      </c>
      <c r="AH7" s="327" t="s">
        <v>176</v>
      </c>
      <c r="AJ7" s="328"/>
    </row>
    <row r="8" spans="1:36" s="342" customFormat="1" ht="43.5" thickTop="1">
      <c r="A8" s="8" t="s">
        <v>595</v>
      </c>
      <c r="B8" s="344">
        <f>+SUM(B9:B10)</f>
        <v>300000</v>
      </c>
      <c r="C8" s="344">
        <f t="shared" ref="C8:AH8" si="0">+SUM(C9:C10)</f>
        <v>0</v>
      </c>
      <c r="D8" s="344">
        <f t="shared" si="0"/>
        <v>0</v>
      </c>
      <c r="E8" s="344">
        <f t="shared" si="0"/>
        <v>0</v>
      </c>
      <c r="F8" s="344">
        <f t="shared" si="0"/>
        <v>0</v>
      </c>
      <c r="G8" s="344">
        <f t="shared" si="0"/>
        <v>0</v>
      </c>
      <c r="H8" s="344">
        <f t="shared" si="0"/>
        <v>0</v>
      </c>
      <c r="I8" s="344">
        <f t="shared" si="0"/>
        <v>0</v>
      </c>
      <c r="J8" s="344">
        <f t="shared" si="0"/>
        <v>0</v>
      </c>
      <c r="K8" s="344">
        <f t="shared" si="0"/>
        <v>0</v>
      </c>
      <c r="L8" s="344">
        <f t="shared" si="0"/>
        <v>0</v>
      </c>
      <c r="M8" s="344">
        <f t="shared" si="0"/>
        <v>0</v>
      </c>
      <c r="N8" s="344">
        <f t="shared" si="0"/>
        <v>0</v>
      </c>
      <c r="O8" s="344">
        <f t="shared" si="0"/>
        <v>0</v>
      </c>
      <c r="P8" s="344">
        <f t="shared" si="0"/>
        <v>0</v>
      </c>
      <c r="Q8" s="344">
        <f t="shared" si="0"/>
        <v>0</v>
      </c>
      <c r="R8" s="344">
        <f t="shared" si="0"/>
        <v>0</v>
      </c>
      <c r="S8" s="344">
        <f t="shared" si="0"/>
        <v>0</v>
      </c>
      <c r="T8" s="344">
        <f t="shared" si="0"/>
        <v>0</v>
      </c>
      <c r="U8" s="344">
        <f t="shared" si="0"/>
        <v>0</v>
      </c>
      <c r="V8" s="344">
        <f t="shared" si="0"/>
        <v>0</v>
      </c>
      <c r="W8" s="344">
        <f t="shared" si="0"/>
        <v>0</v>
      </c>
      <c r="X8" s="344">
        <f t="shared" si="0"/>
        <v>0</v>
      </c>
      <c r="Y8" s="344">
        <f t="shared" si="0"/>
        <v>0</v>
      </c>
      <c r="Z8" s="344">
        <f t="shared" si="0"/>
        <v>0</v>
      </c>
      <c r="AA8" s="344">
        <f t="shared" si="0"/>
        <v>0</v>
      </c>
      <c r="AB8" s="344">
        <f t="shared" si="0"/>
        <v>0</v>
      </c>
      <c r="AC8" s="344">
        <f t="shared" si="0"/>
        <v>0</v>
      </c>
      <c r="AD8" s="344">
        <f t="shared" si="0"/>
        <v>0</v>
      </c>
      <c r="AE8" s="344">
        <f t="shared" si="0"/>
        <v>0</v>
      </c>
      <c r="AF8" s="344">
        <f t="shared" si="0"/>
        <v>0</v>
      </c>
      <c r="AG8" s="344">
        <f t="shared" si="0"/>
        <v>0</v>
      </c>
      <c r="AH8" s="344">
        <f t="shared" si="0"/>
        <v>0</v>
      </c>
    </row>
    <row r="9" spans="1:36" ht="85.5">
      <c r="A9" s="359" t="s">
        <v>944</v>
      </c>
      <c r="B9" s="375">
        <f>+Ipotesi!C26</f>
        <v>300000</v>
      </c>
      <c r="C9" s="375">
        <v>0</v>
      </c>
      <c r="D9" s="358">
        <v>0</v>
      </c>
      <c r="E9" s="358">
        <v>0</v>
      </c>
      <c r="F9" s="358">
        <v>0</v>
      </c>
      <c r="G9" s="358">
        <v>0</v>
      </c>
      <c r="H9" s="358">
        <v>0</v>
      </c>
      <c r="I9" s="358">
        <v>0</v>
      </c>
      <c r="J9" s="358">
        <v>0</v>
      </c>
      <c r="K9" s="358">
        <v>0</v>
      </c>
      <c r="L9" s="358">
        <v>0</v>
      </c>
      <c r="M9" s="358">
        <v>0</v>
      </c>
      <c r="N9" s="358">
        <v>0</v>
      </c>
      <c r="O9" s="358">
        <v>0</v>
      </c>
      <c r="P9" s="358">
        <v>0</v>
      </c>
      <c r="Q9" s="358">
        <v>0</v>
      </c>
      <c r="R9" s="358">
        <v>0</v>
      </c>
      <c r="S9" s="358">
        <v>0</v>
      </c>
      <c r="T9" s="358">
        <v>0</v>
      </c>
      <c r="U9" s="358">
        <v>0</v>
      </c>
      <c r="V9" s="358">
        <v>0</v>
      </c>
      <c r="W9" s="358">
        <v>0</v>
      </c>
      <c r="X9" s="358">
        <v>0</v>
      </c>
      <c r="Y9" s="358">
        <v>0</v>
      </c>
      <c r="Z9" s="358">
        <v>0</v>
      </c>
      <c r="AA9" s="358">
        <v>0</v>
      </c>
      <c r="AB9" s="358">
        <v>0</v>
      </c>
      <c r="AC9" s="358">
        <v>0</v>
      </c>
      <c r="AD9" s="358">
        <v>0</v>
      </c>
      <c r="AE9" s="358">
        <v>0</v>
      </c>
      <c r="AF9" s="358">
        <v>0</v>
      </c>
      <c r="AG9" s="358">
        <v>0</v>
      </c>
      <c r="AH9" s="358">
        <v>0</v>
      </c>
    </row>
    <row r="10" spans="1:36" ht="42.75">
      <c r="A10" s="359" t="s">
        <v>596</v>
      </c>
      <c r="B10" s="358">
        <v>0</v>
      </c>
      <c r="C10" s="358">
        <v>0</v>
      </c>
      <c r="D10" s="358">
        <v>0</v>
      </c>
      <c r="E10" s="358">
        <v>0</v>
      </c>
      <c r="F10" s="358">
        <v>0</v>
      </c>
      <c r="G10" s="358">
        <v>0</v>
      </c>
      <c r="H10" s="358">
        <v>0</v>
      </c>
      <c r="I10" s="358">
        <v>0</v>
      </c>
      <c r="J10" s="358">
        <v>0</v>
      </c>
      <c r="K10" s="358">
        <v>0</v>
      </c>
      <c r="L10" s="358">
        <v>0</v>
      </c>
      <c r="M10" s="358">
        <v>0</v>
      </c>
      <c r="N10" s="358">
        <v>0</v>
      </c>
      <c r="O10" s="358">
        <v>0</v>
      </c>
      <c r="P10" s="358">
        <v>0</v>
      </c>
      <c r="Q10" s="358">
        <v>0</v>
      </c>
      <c r="R10" s="358">
        <v>0</v>
      </c>
      <c r="S10" s="358">
        <v>0</v>
      </c>
      <c r="T10" s="358">
        <v>0</v>
      </c>
      <c r="U10" s="358">
        <v>0</v>
      </c>
      <c r="V10" s="358">
        <v>0</v>
      </c>
      <c r="W10" s="358">
        <v>0</v>
      </c>
      <c r="X10" s="358">
        <v>0</v>
      </c>
      <c r="Y10" s="358">
        <v>0</v>
      </c>
      <c r="Z10" s="358">
        <v>0</v>
      </c>
      <c r="AA10" s="358">
        <v>0</v>
      </c>
      <c r="AB10" s="358">
        <v>0</v>
      </c>
      <c r="AC10" s="358">
        <v>0</v>
      </c>
      <c r="AD10" s="358">
        <v>0</v>
      </c>
      <c r="AE10" s="358">
        <v>0</v>
      </c>
      <c r="AF10" s="358">
        <v>0</v>
      </c>
      <c r="AG10" s="358">
        <v>0</v>
      </c>
      <c r="AH10" s="358">
        <v>0</v>
      </c>
    </row>
    <row r="11" spans="1:36" s="342" customFormat="1" ht="28.5">
      <c r="A11" s="8" t="s">
        <v>597</v>
      </c>
      <c r="B11" s="344">
        <v>0</v>
      </c>
      <c r="C11" s="344">
        <v>0</v>
      </c>
      <c r="D11" s="344">
        <v>0</v>
      </c>
      <c r="E11" s="344">
        <v>0</v>
      </c>
      <c r="F11" s="344">
        <v>0</v>
      </c>
      <c r="G11" s="344">
        <v>0</v>
      </c>
      <c r="H11" s="344">
        <v>0</v>
      </c>
      <c r="I11" s="344">
        <v>0</v>
      </c>
      <c r="J11" s="344">
        <v>0</v>
      </c>
      <c r="K11" s="344">
        <v>0</v>
      </c>
      <c r="L11" s="344">
        <v>0</v>
      </c>
      <c r="M11" s="344">
        <v>0</v>
      </c>
      <c r="N11" s="344">
        <v>0</v>
      </c>
      <c r="O11" s="344">
        <v>0</v>
      </c>
      <c r="P11" s="344">
        <v>0</v>
      </c>
      <c r="Q11" s="344">
        <v>0</v>
      </c>
      <c r="R11" s="344">
        <v>0</v>
      </c>
      <c r="S11" s="344">
        <v>0</v>
      </c>
      <c r="T11" s="344">
        <v>0</v>
      </c>
      <c r="U11" s="344">
        <v>0</v>
      </c>
      <c r="V11" s="344">
        <v>0</v>
      </c>
      <c r="W11" s="344">
        <v>0</v>
      </c>
      <c r="X11" s="344">
        <v>0</v>
      </c>
      <c r="Y11" s="344">
        <v>0</v>
      </c>
      <c r="Z11" s="344">
        <v>0</v>
      </c>
      <c r="AA11" s="344">
        <v>0</v>
      </c>
      <c r="AB11" s="344">
        <v>0</v>
      </c>
      <c r="AC11" s="344">
        <v>0</v>
      </c>
      <c r="AD11" s="344">
        <v>0</v>
      </c>
      <c r="AE11" s="344">
        <v>0</v>
      </c>
      <c r="AF11" s="344">
        <v>0</v>
      </c>
      <c r="AG11" s="344">
        <v>0</v>
      </c>
      <c r="AH11" s="344">
        <v>0</v>
      </c>
    </row>
    <row r="12" spans="1:36" s="342" customFormat="1" ht="57">
      <c r="A12" s="8" t="s">
        <v>593</v>
      </c>
      <c r="B12" s="374"/>
      <c r="C12" s="374">
        <v>500000</v>
      </c>
      <c r="D12" s="374">
        <v>500000</v>
      </c>
      <c r="E12" s="374">
        <v>500000</v>
      </c>
      <c r="F12" s="374">
        <v>500000</v>
      </c>
      <c r="G12" s="374">
        <v>500000</v>
      </c>
      <c r="H12" s="374">
        <v>500000</v>
      </c>
      <c r="I12" s="374">
        <v>500000</v>
      </c>
      <c r="J12" s="374">
        <v>500000</v>
      </c>
      <c r="K12" s="374">
        <v>500000</v>
      </c>
      <c r="L12" s="374">
        <v>500000</v>
      </c>
      <c r="M12" s="374">
        <v>500000</v>
      </c>
      <c r="N12" s="374">
        <v>500000</v>
      </c>
      <c r="O12" s="374">
        <v>500000</v>
      </c>
      <c r="P12" s="374">
        <v>500000</v>
      </c>
      <c r="Q12" s="374">
        <v>500000</v>
      </c>
      <c r="R12" s="374">
        <v>500000</v>
      </c>
      <c r="S12" s="374">
        <v>500000</v>
      </c>
      <c r="T12" s="374">
        <v>500000</v>
      </c>
      <c r="U12" s="374">
        <v>500000</v>
      </c>
      <c r="V12" s="374">
        <v>500000</v>
      </c>
      <c r="W12" s="374">
        <v>500000</v>
      </c>
      <c r="X12" s="374">
        <v>500000</v>
      </c>
      <c r="Y12" s="374">
        <v>500000</v>
      </c>
      <c r="Z12" s="374">
        <v>500000</v>
      </c>
      <c r="AA12" s="374">
        <v>500000</v>
      </c>
      <c r="AB12" s="374">
        <v>500000</v>
      </c>
      <c r="AC12" s="374">
        <v>500000</v>
      </c>
      <c r="AD12" s="374">
        <v>500000</v>
      </c>
      <c r="AE12" s="374">
        <v>500000</v>
      </c>
      <c r="AF12" s="374">
        <v>500000</v>
      </c>
      <c r="AG12" s="374">
        <v>500000</v>
      </c>
      <c r="AH12" s="374">
        <v>500000</v>
      </c>
    </row>
    <row r="13" spans="1:36" s="316" customFormat="1" ht="13.5" thickBot="1">
      <c r="A13" s="345" t="s">
        <v>294</v>
      </c>
      <c r="B13" s="346">
        <f>+B8+B11+B12</f>
        <v>300000</v>
      </c>
      <c r="C13" s="346">
        <f t="shared" ref="C13:AE13" si="1">+C8+C11+C12</f>
        <v>500000</v>
      </c>
      <c r="D13" s="346">
        <f t="shared" si="1"/>
        <v>500000</v>
      </c>
      <c r="E13" s="346">
        <f t="shared" si="1"/>
        <v>500000</v>
      </c>
      <c r="F13" s="346">
        <f t="shared" si="1"/>
        <v>500000</v>
      </c>
      <c r="G13" s="346">
        <f t="shared" si="1"/>
        <v>500000</v>
      </c>
      <c r="H13" s="346">
        <f t="shared" si="1"/>
        <v>500000</v>
      </c>
      <c r="I13" s="346">
        <f t="shared" si="1"/>
        <v>500000</v>
      </c>
      <c r="J13" s="346">
        <f t="shared" si="1"/>
        <v>500000</v>
      </c>
      <c r="K13" s="346">
        <f t="shared" si="1"/>
        <v>500000</v>
      </c>
      <c r="L13" s="346">
        <f t="shared" si="1"/>
        <v>500000</v>
      </c>
      <c r="M13" s="346">
        <f t="shared" si="1"/>
        <v>500000</v>
      </c>
      <c r="N13" s="346">
        <f t="shared" si="1"/>
        <v>500000</v>
      </c>
      <c r="O13" s="346">
        <f t="shared" si="1"/>
        <v>500000</v>
      </c>
      <c r="P13" s="346">
        <f t="shared" si="1"/>
        <v>500000</v>
      </c>
      <c r="Q13" s="346">
        <f t="shared" si="1"/>
        <v>500000</v>
      </c>
      <c r="R13" s="346">
        <f t="shared" si="1"/>
        <v>500000</v>
      </c>
      <c r="S13" s="346">
        <f t="shared" si="1"/>
        <v>500000</v>
      </c>
      <c r="T13" s="346">
        <f t="shared" si="1"/>
        <v>500000</v>
      </c>
      <c r="U13" s="346">
        <f t="shared" si="1"/>
        <v>500000</v>
      </c>
      <c r="V13" s="346">
        <f t="shared" si="1"/>
        <v>500000</v>
      </c>
      <c r="W13" s="346">
        <f t="shared" si="1"/>
        <v>500000</v>
      </c>
      <c r="X13" s="346">
        <f t="shared" si="1"/>
        <v>500000</v>
      </c>
      <c r="Y13" s="346">
        <f t="shared" si="1"/>
        <v>500000</v>
      </c>
      <c r="Z13" s="346">
        <f t="shared" si="1"/>
        <v>500000</v>
      </c>
      <c r="AA13" s="346">
        <f t="shared" si="1"/>
        <v>500000</v>
      </c>
      <c r="AB13" s="346">
        <f t="shared" si="1"/>
        <v>500000</v>
      </c>
      <c r="AC13" s="346">
        <f t="shared" si="1"/>
        <v>500000</v>
      </c>
      <c r="AD13" s="346">
        <f t="shared" si="1"/>
        <v>500000</v>
      </c>
      <c r="AE13" s="346">
        <f t="shared" si="1"/>
        <v>500000</v>
      </c>
      <c r="AF13" s="346">
        <f>+AF8+AF11+AF12</f>
        <v>500000</v>
      </c>
      <c r="AG13" s="346">
        <f>+AG8+AG11+AG12</f>
        <v>500000</v>
      </c>
      <c r="AH13" s="346">
        <f>+AH8+AH11+AH12</f>
        <v>500000</v>
      </c>
    </row>
    <row r="14" spans="1:36" ht="13.5" thickTop="1"/>
  </sheetData>
  <phoneticPr fontId="18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Fogli di lavoro</vt:lpstr>
      </vt:variant>
      <vt:variant>
        <vt:i4>19</vt:i4>
      </vt:variant>
      <vt:variant>
        <vt:lpstr>Grafici</vt:lpstr>
      </vt:variant>
      <vt:variant>
        <vt:i4>1</vt:i4>
      </vt:variant>
      <vt:variant>
        <vt:lpstr>Intervalli denominati</vt:lpstr>
      </vt:variant>
      <vt:variant>
        <vt:i4>12</vt:i4>
      </vt:variant>
    </vt:vector>
  </HeadingPairs>
  <TitlesOfParts>
    <vt:vector size="32" baseType="lpstr">
      <vt:lpstr>Costi d'impianto</vt:lpstr>
      <vt:lpstr>Ipotesi</vt:lpstr>
      <vt:lpstr>Costi operativi</vt:lpstr>
      <vt:lpstr>Personale</vt:lpstr>
      <vt:lpstr>CCNL acqua gas</vt:lpstr>
      <vt:lpstr>quote Comuni</vt:lpstr>
      <vt:lpstr>quote Comuni_hp</vt:lpstr>
      <vt:lpstr>Pop_ISTAT</vt:lpstr>
      <vt:lpstr>Ricavi</vt:lpstr>
      <vt:lpstr>CE</vt:lpstr>
      <vt:lpstr>SP</vt:lpstr>
      <vt:lpstr>CF</vt:lpstr>
      <vt:lpstr>DCF</vt:lpstr>
      <vt:lpstr>Indici</vt:lpstr>
      <vt:lpstr>Appoggio</vt:lpstr>
      <vt:lpstr>Iva</vt:lpstr>
      <vt:lpstr>Finanz. bancari</vt:lpstr>
      <vt:lpstr>Imm.  Mat.</vt:lpstr>
      <vt:lpstr>Imm.  Imm.</vt:lpstr>
      <vt:lpstr>MP e MT</vt:lpstr>
      <vt:lpstr>CE!Area_stampa</vt:lpstr>
      <vt:lpstr>CF!Area_stampa</vt:lpstr>
      <vt:lpstr>'Costi d''impianto'!Area_stampa</vt:lpstr>
      <vt:lpstr>'Costi operativi'!Area_stampa</vt:lpstr>
      <vt:lpstr>DCF!Area_stampa</vt:lpstr>
      <vt:lpstr>'Finanz. bancari'!Area_stampa</vt:lpstr>
      <vt:lpstr>'Imm.  Mat.'!Area_stampa</vt:lpstr>
      <vt:lpstr>Ipotesi!Area_stampa</vt:lpstr>
      <vt:lpstr>Iva!Area_stampa</vt:lpstr>
      <vt:lpstr>Personale!Area_stampa</vt:lpstr>
      <vt:lpstr>'quote Comuni_hp'!Area_stampa</vt:lpstr>
      <vt:lpstr>SP!Area_stampa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GIOVANNI D'AMBRUOSO</cp:lastModifiedBy>
  <cp:lastPrinted>2025-12-02T08:05:55Z</cp:lastPrinted>
  <dcterms:created xsi:type="dcterms:W3CDTF">2003-05-10T11:41:17Z</dcterms:created>
  <dcterms:modified xsi:type="dcterms:W3CDTF">2026-02-13T09:29:52Z</dcterms:modified>
  <cp:category/>
</cp:coreProperties>
</file>