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D3D662E1-A152-4E30-AB13-5F24175FFED1}" xr6:coauthVersionLast="47" xr6:coauthVersionMax="47" xr10:uidLastSave="{00000000-0000-0000-0000-000000000000}"/>
  <bookViews>
    <workbookView xWindow="-120" yWindow="-120" windowWidth="29040" windowHeight="15840" activeTab="1" xr2:uid="{00000000-000D-0000-FFFF-FFFF00000000}"/>
  </bookViews>
  <sheets>
    <sheet name="art. 14" sheetId="3" r:id="rId1"/>
    <sheet name="CALCOLO INCREMENTO" sheetId="1" r:id="rId2"/>
    <sheet name="CONTROLLI"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 i="1" l="1"/>
  <c r="C22" i="1"/>
  <c r="E7" i="2" l="1"/>
  <c r="C10" i="2" s="1"/>
  <c r="C48" i="1"/>
  <c r="F32" i="1"/>
  <c r="F31" i="1"/>
  <c r="F30" i="1"/>
  <c r="F29" i="1"/>
  <c r="F28" i="1"/>
  <c r="F27" i="1"/>
  <c r="F26" i="1"/>
  <c r="F25" i="1"/>
  <c r="F24" i="1"/>
  <c r="F23" i="1"/>
  <c r="F22" i="1"/>
  <c r="F21" i="1"/>
  <c r="F20" i="1"/>
  <c r="F19" i="1"/>
  <c r="F18" i="1"/>
  <c r="F17" i="1"/>
  <c r="F16" i="1"/>
  <c r="F15" i="1"/>
  <c r="F14" i="1"/>
  <c r="F13" i="1"/>
  <c r="F12" i="1"/>
  <c r="F11" i="1"/>
  <c r="F10" i="1"/>
  <c r="D32" i="1"/>
  <c r="D31" i="1"/>
  <c r="D30" i="1"/>
  <c r="D29" i="1"/>
  <c r="D28" i="1"/>
  <c r="D27" i="1"/>
  <c r="D26" i="1"/>
  <c r="D25" i="1"/>
  <c r="D24" i="1"/>
  <c r="D23" i="1"/>
  <c r="D22" i="1"/>
  <c r="D21" i="1"/>
  <c r="D20" i="1"/>
  <c r="D19" i="1"/>
  <c r="D18" i="1"/>
  <c r="D17" i="1"/>
  <c r="D16" i="1"/>
  <c r="D15" i="1"/>
  <c r="D14" i="1"/>
  <c r="D13" i="1"/>
  <c r="D12" i="1"/>
  <c r="D11" i="1"/>
  <c r="D10" i="1"/>
  <c r="F9" i="1"/>
  <c r="D9" i="1"/>
  <c r="F8" i="1"/>
  <c r="D8" i="1"/>
  <c r="F7" i="1"/>
  <c r="D7" i="1"/>
  <c r="F6" i="1"/>
  <c r="D6" i="1"/>
  <c r="E16" i="2"/>
  <c r="G24" i="1" l="1"/>
  <c r="G8" i="1"/>
  <c r="G11" i="1"/>
  <c r="G19" i="1"/>
  <c r="G23" i="1"/>
  <c r="G12" i="1"/>
  <c r="G13" i="1"/>
  <c r="G18" i="1"/>
  <c r="G30" i="1"/>
  <c r="G17" i="1"/>
  <c r="G25" i="1"/>
  <c r="G14" i="1"/>
  <c r="G32" i="1"/>
  <c r="G31" i="1"/>
  <c r="G20" i="1"/>
  <c r="G26" i="1"/>
  <c r="G15" i="1"/>
  <c r="G21" i="1"/>
  <c r="G27" i="1"/>
  <c r="G16" i="1"/>
  <c r="G22" i="1"/>
  <c r="G28" i="1"/>
  <c r="G29" i="1"/>
  <c r="G10" i="1"/>
  <c r="G6" i="1"/>
  <c r="G9" i="1"/>
  <c r="G7" i="1"/>
  <c r="G33" i="1" l="1"/>
  <c r="A44" i="1" s="1"/>
  <c r="B44" i="1" s="1"/>
  <c r="D48" i="1" s="1"/>
</calcChain>
</file>

<file path=xl/sharedStrings.xml><?xml version="1.0" encoding="utf-8"?>
<sst xmlns="http://schemas.openxmlformats.org/spreadsheetml/2006/main" count="105" uniqueCount="77">
  <si>
    <t>TOTALE</t>
  </si>
  <si>
    <t>48% (MAX)</t>
  </si>
  <si>
    <t>POSSIBILE INCREMENTO ANNUO DAL 2025</t>
  </si>
  <si>
    <t>DETERMINAZIONE DEL VALORE MASSIMO DELLE RISORSE INCREMENTALI DA DESTINARE AL FONDO DAL 2025 - PARTE STABILE</t>
  </si>
  <si>
    <t>Ex PEO</t>
  </si>
  <si>
    <t>Aree N.O. CCNL 2019-2021</t>
  </si>
  <si>
    <t>LIMITE SPESA DI PERSONALE EX ART. 33 D.L. N. 34-2019</t>
  </si>
  <si>
    <t>SPESA PERSONALE ANNO 2025 (definizione art. 2, comma 1, lett. a), Decreto attuativo 17/03/2020) COMPRENSIVA DI ONERI RIFLESSI AL NETTO DELL'IRAP</t>
  </si>
  <si>
    <t>INCREMENTO RISORSE STABILI EX ART. 14, COMMA 1-BIS, D.L. N. 25/2025</t>
  </si>
  <si>
    <t>INCREMENTO RISORSE STABILI EX ART. 14, COMMA 1-BIS, D.L. N. 25/2025 + ONERI RIFLESSI (AL NETTO DELL'IRAP)</t>
  </si>
  <si>
    <t>% ONERI RIFLESSI (27,4% + INAIL)</t>
  </si>
  <si>
    <t>A</t>
  </si>
  <si>
    <t>B</t>
  </si>
  <si>
    <t>C</t>
  </si>
  <si>
    <t>VERIFICA: B+C deve essere minore o uguale ad A</t>
  </si>
  <si>
    <t>TOTALE INCREMENTO FONDO COMPRENSIVO DI ONERI RIFLESSI</t>
  </si>
  <si>
    <t>- ART. 33 D. L. N. 34/2019 (SOSTENIBILITA' FINANZIARIA)</t>
  </si>
  <si>
    <t>- ART. 1, COMMA 557 O 562, L. N. 296/2006 (CONTENIMENTO DELLA SPESA DI PERSONALE)</t>
  </si>
  <si>
    <t>formula</t>
  </si>
  <si>
    <t>MARGINE SPESA COMPLESSIVA DI PERSONALE EX ART. 1, COMMA 557 O 562, L. N. 296/2006</t>
  </si>
  <si>
    <t>D</t>
  </si>
  <si>
    <t>INCREMENTO RISORSE STABILI EX ART. 14, COMMA 1-BIS, D.L. N. 25/2025 + ONERI RIFLESSI E IRAP)</t>
  </si>
  <si>
    <t>IRAP 8,5%</t>
  </si>
  <si>
    <t>TOTALE INCREMENTO FONDO COMPRENSIVO DI ONERI RIFLESSI E IRAP</t>
  </si>
  <si>
    <t>E</t>
  </si>
  <si>
    <t>VERIFICA: E deve essere minore o uguale ad D</t>
  </si>
  <si>
    <t>D6</t>
  </si>
  <si>
    <t>D5</t>
  </si>
  <si>
    <t>D4</t>
  </si>
  <si>
    <t>D3</t>
  </si>
  <si>
    <t>D2</t>
  </si>
  <si>
    <t>D1</t>
  </si>
  <si>
    <t>C6</t>
  </si>
  <si>
    <t>C5</t>
  </si>
  <si>
    <t>C4</t>
  </si>
  <si>
    <t>C3</t>
  </si>
  <si>
    <t>C2</t>
  </si>
  <si>
    <t>C1</t>
  </si>
  <si>
    <t>D7</t>
  </si>
  <si>
    <t>B8</t>
  </si>
  <si>
    <t>B7</t>
  </si>
  <si>
    <t>B6</t>
  </si>
  <si>
    <t>B5</t>
  </si>
  <si>
    <t>B4</t>
  </si>
  <si>
    <t>B3</t>
  </si>
  <si>
    <t>B2</t>
  </si>
  <si>
    <t>B1</t>
  </si>
  <si>
    <t>A6</t>
  </si>
  <si>
    <t>A5</t>
  </si>
  <si>
    <t>A4</t>
  </si>
  <si>
    <t>A3</t>
  </si>
  <si>
    <t>A2</t>
  </si>
  <si>
    <t>A1</t>
  </si>
  <si>
    <t>Funzionari ed EQ</t>
  </si>
  <si>
    <t>Istruttori</t>
  </si>
  <si>
    <t>Operatori esperti</t>
  </si>
  <si>
    <t>Operatori</t>
  </si>
  <si>
    <t>TOTALE SPESA STIPENDI TABELLARI 2023</t>
  </si>
  <si>
    <t>STIPENDI TABELLARI (TAB. G CCNL 2019-2021) + quota 13^</t>
  </si>
  <si>
    <t>1 PART-TIME 0,50 X 2 MESI (CESSATO A FEBBRAIO) = 1 MENSILITA' (PERIODO GEN-MAR)</t>
  </si>
  <si>
    <t>1 TEMPO PIENO TUTTO L'ANNO (3 MESILITA' GEN-MAR) + 9 MENSILITA' (APR-DIC)</t>
  </si>
  <si>
    <t>CALCOLO SPESA STIPENDI TABELLARI ANNO 2023:</t>
  </si>
  <si>
    <t>STIPENDI TABELLARI (TAB. F CCNL 2019-2021(**)) + quota 13^</t>
  </si>
  <si>
    <t>(**) Tab. E per le PEO D7, C6, B8 e A6</t>
  </si>
  <si>
    <t>(*) compreso il personale a tempo determinato</t>
  </si>
  <si>
    <t>TOTALE COMPLESSIVO</t>
  </si>
  <si>
    <t>CALCOLO POSSIBILE INCREMENTO ANNUO DAL 2025:</t>
  </si>
  <si>
    <t>N° mensilità gen-mar 2023 (come da istruzioni Conto annuale) (*)</t>
  </si>
  <si>
    <t>N° mensilità apr-dic 2023 (come da istruzioni Conto annuale) (*)</t>
  </si>
  <si>
    <t xml:space="preserve">ESEMPIO: CAT. D6 </t>
  </si>
  <si>
    <t>(**)</t>
  </si>
  <si>
    <t>SPESA ANNO 2023 PER STIPENDI TABELLARI AREE PROFESSIONALI (**)</t>
  </si>
  <si>
    <t>Incremento inserito in costituzione fondo - parte stabile</t>
  </si>
  <si>
    <t>VERIFICA DEL RISPETTO DEI VINCOLI IN MATERIA DI PERSONALE</t>
  </si>
  <si>
    <r>
      <t xml:space="preserve">All’articolo 14, dopo il comma 1 è aggiunto il seguente: «1-bis. A decorrere dall’anno 2025, al fine di armonizzare il trattamento accessorio del personale dipendente, le regioni, le città metropolitane, le province e i comuni, nel rispetto di quanto previsto dall’articolo 33, commi 1, 1-bis e 2, del decreto-legge 30 aprile 2019, n. 34, convertito, con modificazioni, dalla legge 28 giugno 2019, n. 58, e dell'equilibrio pluriennale di bilancio asseverato dall'organo di revisione, </t>
    </r>
    <r>
      <rPr>
        <b/>
        <sz val="10"/>
        <rFont val="Arial"/>
        <family val="2"/>
      </rPr>
      <t>possono incrementare</t>
    </r>
    <r>
      <rPr>
        <sz val="10"/>
        <rFont val="Arial"/>
        <family val="2"/>
      </rPr>
      <t xml:space="preserve">, in deroga al limite di cui all'articolo 23, comma 2, del decreto legislativo 25 maggio 2017, n. 75, </t>
    </r>
    <r>
      <rPr>
        <b/>
        <sz val="10"/>
        <rFont val="Arial"/>
        <family val="2"/>
      </rPr>
      <t>il Fondo risorse decentrate destinato al personale in servizio</t>
    </r>
    <r>
      <rPr>
        <sz val="10"/>
        <rFont val="Arial"/>
        <family val="2"/>
      </rPr>
      <t xml:space="preserve">, </t>
    </r>
    <r>
      <rPr>
        <b/>
        <sz val="10"/>
        <rFont val="Arial"/>
        <family val="2"/>
      </rPr>
      <t>sino al conseguimento di una incidenza delle somme destinate alla componente stabile del predetto fondo, maggiorate degli importi relativi alla remunerazione</t>
    </r>
    <r>
      <rPr>
        <sz val="10"/>
        <rFont val="Arial"/>
        <family val="2"/>
      </rPr>
      <t xml:space="preserve"> </t>
    </r>
    <r>
      <rPr>
        <b/>
        <sz val="10"/>
        <rFont val="Arial"/>
        <family val="2"/>
      </rPr>
      <t>degli incarichi di posizione organizzativa, sulla spesa complessivamente sostenuta nell’anno 2023 per gli stipendi tabellari delle aree professionali, non superiore al 48 per cento</t>
    </r>
    <r>
      <rPr>
        <sz val="10"/>
        <rFont val="Arial"/>
        <family val="2"/>
      </rPr>
      <t>. Ai fini del controllo della spesa di cui al Titolo V del decreto legislativo 30 marzo 2001, n. 165, le predette amministrazioni indicano, in sede di rilevazione dei dati del Conto annuale, la maggiore spesa sostenuta derivante dall’incremento delle risorse destinate al trattamento accessorio del personale, e la misura del rapporto percentuale conseguito in attuazione di quanto previsto dal presente comma. In caso di mancata rilevazione in sede di Conto annuale dei dati previsti dal precedente periodo, è indisponibile per la contrattazione integrativa un importo pari al 25 per cento delle risorse incrementali, fino alla regolarizzazione di tale adempimento.».</t>
    </r>
  </si>
  <si>
    <t>FONDO PARTE STABILE ANNO 2026 (al netto decurtazione per il rispetto del limite ex art. 23, comma 2, D. Lgs. n. 75/2017)</t>
  </si>
  <si>
    <t>RISORSE EQ ANNO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</si>
</sst>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_€_-;\-* #,##0.00\ _€_-;_-* &quot;-&quot;??\ _€_-;_-@_-"/>
  </numFmts>
  <fonts count="10"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i/>
      <sz val="9"/>
      <color rgb="FF3A4C7C"/>
      <name val="Arial"/>
      <family val="2"/>
    </font>
    <font>
      <b/>
      <sz val="11"/>
      <color rgb="FFFF0000"/>
      <name val="Aptos Narrow"/>
      <family val="2"/>
      <scheme val="minor"/>
    </font>
    <font>
      <sz val="11"/>
      <name val="Aptos Narrow"/>
      <family val="2"/>
      <scheme val="minor"/>
    </font>
    <font>
      <b/>
      <sz val="14"/>
      <color theme="1"/>
      <name val="Aptos Narrow"/>
      <family val="2"/>
      <scheme val="minor"/>
    </font>
    <font>
      <sz val="10"/>
      <name val="Arial"/>
      <family val="2"/>
    </font>
    <font>
      <b/>
      <sz val="10"/>
      <name val="Arial"/>
      <family val="2"/>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43" fontId="1" fillId="0" borderId="0" applyFont="0" applyFill="0" applyBorder="0" applyAlignment="0" applyProtection="0"/>
  </cellStyleXfs>
  <cellXfs count="45">
    <xf numFmtId="0" fontId="0" fillId="0" borderId="0" xfId="0"/>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43" fontId="0" fillId="0" borderId="1" xfId="1" applyFont="1" applyBorder="1"/>
    <xf numFmtId="0" fontId="4" fillId="0" borderId="0" xfId="0" applyFont="1" applyAlignment="1">
      <alignment vertical="center" wrapText="1"/>
    </xf>
    <xf numFmtId="43" fontId="3" fillId="0" borderId="1" xfId="1" applyFont="1" applyBorder="1"/>
    <xf numFmtId="0" fontId="3" fillId="0" borderId="0" xfId="0" applyFont="1"/>
    <xf numFmtId="43" fontId="0" fillId="2" borderId="1" xfId="1" applyFont="1" applyFill="1" applyBorder="1"/>
    <xf numFmtId="0" fontId="0" fillId="0" borderId="1" xfId="0" applyBorder="1" applyAlignment="1">
      <alignment horizontal="center" vertical="center" wrapText="1"/>
    </xf>
    <xf numFmtId="0" fontId="0" fillId="0" borderId="1" xfId="0" applyBorder="1"/>
    <xf numFmtId="0" fontId="0" fillId="0" borderId="0" xfId="0" applyAlignment="1">
      <alignment horizontal="center"/>
    </xf>
    <xf numFmtId="164" fontId="0" fillId="0" borderId="0" xfId="0" applyNumberFormat="1"/>
    <xf numFmtId="0" fontId="3" fillId="0" borderId="0" xfId="0" quotePrefix="1" applyFont="1"/>
    <xf numFmtId="43" fontId="2" fillId="0" borderId="0" xfId="1" applyFont="1" applyBorder="1" applyAlignment="1">
      <alignment horizontal="center"/>
    </xf>
    <xf numFmtId="0" fontId="2" fillId="0" borderId="0" xfId="0" applyFont="1" applyAlignment="1">
      <alignment horizontal="center" vertical="center" wrapText="1"/>
    </xf>
    <xf numFmtId="0" fontId="0" fillId="0" borderId="1" xfId="0" applyBorder="1" applyAlignment="1">
      <alignment horizontal="center" wrapText="1"/>
    </xf>
    <xf numFmtId="43" fontId="0" fillId="0" borderId="1" xfId="1" applyFont="1" applyBorder="1" applyAlignment="1">
      <alignment horizontal="center" vertical="center" wrapText="1"/>
    </xf>
    <xf numFmtId="0" fontId="0" fillId="0" borderId="1" xfId="0" applyBorder="1" applyAlignment="1">
      <alignment horizontal="center"/>
    </xf>
    <xf numFmtId="0" fontId="0" fillId="2" borderId="1" xfId="0" applyFill="1" applyBorder="1" applyAlignment="1">
      <alignment horizontal="center" vertical="center" wrapText="1"/>
    </xf>
    <xf numFmtId="43" fontId="0" fillId="2" borderId="1" xfId="1" applyFont="1" applyFill="1" applyBorder="1" applyAlignment="1">
      <alignment horizontal="center" vertical="center" wrapText="1"/>
    </xf>
    <xf numFmtId="0" fontId="0" fillId="0" borderId="0" xfId="0" applyAlignment="1">
      <alignment horizontal="left"/>
    </xf>
    <xf numFmtId="0" fontId="0" fillId="0" borderId="0" xfId="0" applyAlignment="1">
      <alignment horizontal="center" vertical="center" wrapText="1"/>
    </xf>
    <xf numFmtId="43" fontId="0" fillId="0" borderId="0" xfId="1" applyFont="1" applyBorder="1"/>
    <xf numFmtId="43" fontId="0" fillId="0" borderId="0" xfId="1" applyFont="1" applyFill="1" applyBorder="1"/>
    <xf numFmtId="0" fontId="3" fillId="0" borderId="0" xfId="0" applyFont="1" applyAlignment="1">
      <alignment horizontal="center"/>
    </xf>
    <xf numFmtId="43" fontId="0" fillId="0" borderId="0" xfId="1" applyFont="1" applyBorder="1" applyAlignment="1">
      <alignment horizontal="center"/>
    </xf>
    <xf numFmtId="0" fontId="5" fillId="0" borderId="0" xfId="0" applyFont="1" applyAlignment="1">
      <alignment horizontal="left"/>
    </xf>
    <xf numFmtId="0" fontId="2" fillId="0" borderId="0" xfId="0" applyFont="1" applyAlignment="1">
      <alignment horizontal="left"/>
    </xf>
    <xf numFmtId="0" fontId="2" fillId="0" borderId="0" xfId="0" applyFont="1"/>
    <xf numFmtId="0" fontId="2" fillId="2" borderId="1" xfId="0" applyFont="1" applyFill="1" applyBorder="1" applyAlignment="1">
      <alignment horizontal="center" vertical="center" wrapText="1"/>
    </xf>
    <xf numFmtId="43" fontId="2" fillId="2" borderId="1" xfId="1" applyFont="1" applyFill="1" applyBorder="1"/>
    <xf numFmtId="43" fontId="6" fillId="0" borderId="0" xfId="1" applyFont="1" applyBorder="1" applyAlignment="1">
      <alignment horizontal="center"/>
    </xf>
    <xf numFmtId="0" fontId="0" fillId="0" borderId="0" xfId="0" applyAlignment="1">
      <alignment horizontal="center" vertical="center"/>
    </xf>
    <xf numFmtId="0" fontId="0" fillId="0" borderId="0" xfId="0" applyAlignment="1">
      <alignment vertical="center"/>
    </xf>
    <xf numFmtId="0" fontId="2" fillId="2" borderId="3" xfId="0" applyFont="1" applyFill="1" applyBorder="1"/>
    <xf numFmtId="0" fontId="2" fillId="2" borderId="1" xfId="0" applyFont="1" applyFill="1" applyBorder="1"/>
    <xf numFmtId="43" fontId="0" fillId="2" borderId="1" xfId="1" applyFont="1" applyFill="1" applyBorder="1" applyAlignment="1">
      <alignment horizontal="left"/>
    </xf>
    <xf numFmtId="0" fontId="3" fillId="0" borderId="1" xfId="0" applyFont="1" applyBorder="1" applyAlignment="1">
      <alignment horizontal="center"/>
    </xf>
    <xf numFmtId="0" fontId="3" fillId="0" borderId="1" xfId="0" applyFont="1" applyBorder="1"/>
    <xf numFmtId="0" fontId="7" fillId="0" borderId="0" xfId="0" applyFont="1" applyAlignment="1">
      <alignment horizontal="center"/>
    </xf>
    <xf numFmtId="0" fontId="8" fillId="0" borderId="0" xfId="0" applyFont="1" applyAlignment="1">
      <alignment wrapText="1"/>
    </xf>
    <xf numFmtId="0" fontId="0" fillId="0" borderId="0" xfId="0" applyAlignment="1">
      <alignment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cellXfs>
  <cellStyles count="2">
    <cellStyle name="Migliaia" xfId="1" builtinId="3"/>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
  <sheetViews>
    <sheetView workbookViewId="0">
      <selection sqref="A1:K10"/>
    </sheetView>
  </sheetViews>
  <sheetFormatPr defaultRowHeight="15" x14ac:dyDescent="0.25"/>
  <sheetData>
    <row r="1" spans="1:11" x14ac:dyDescent="0.25">
      <c r="A1" s="40" t="s">
        <v>74</v>
      </c>
      <c r="B1" s="41"/>
      <c r="C1" s="41"/>
      <c r="D1" s="41"/>
      <c r="E1" s="41"/>
      <c r="F1" s="41"/>
      <c r="G1" s="41"/>
      <c r="H1" s="41"/>
      <c r="I1" s="41"/>
      <c r="J1" s="41"/>
      <c r="K1" s="41"/>
    </row>
    <row r="2" spans="1:11" x14ac:dyDescent="0.25">
      <c r="A2" s="41"/>
      <c r="B2" s="41"/>
      <c r="C2" s="41"/>
      <c r="D2" s="41"/>
      <c r="E2" s="41"/>
      <c r="F2" s="41"/>
      <c r="G2" s="41"/>
      <c r="H2" s="41"/>
      <c r="I2" s="41"/>
      <c r="J2" s="41"/>
      <c r="K2" s="41"/>
    </row>
    <row r="3" spans="1:11" x14ac:dyDescent="0.25">
      <c r="A3" s="41"/>
      <c r="B3" s="41"/>
      <c r="C3" s="41"/>
      <c r="D3" s="41"/>
      <c r="E3" s="41"/>
      <c r="F3" s="41"/>
      <c r="G3" s="41"/>
      <c r="H3" s="41"/>
      <c r="I3" s="41"/>
      <c r="J3" s="41"/>
      <c r="K3" s="41"/>
    </row>
    <row r="4" spans="1:11" x14ac:dyDescent="0.25">
      <c r="A4" s="41"/>
      <c r="B4" s="41"/>
      <c r="C4" s="41"/>
      <c r="D4" s="41"/>
      <c r="E4" s="41"/>
      <c r="F4" s="41"/>
      <c r="G4" s="41"/>
      <c r="H4" s="41"/>
      <c r="I4" s="41"/>
      <c r="J4" s="41"/>
      <c r="K4" s="41"/>
    </row>
    <row r="5" spans="1:11" x14ac:dyDescent="0.25">
      <c r="A5" s="41"/>
      <c r="B5" s="41"/>
      <c r="C5" s="41"/>
      <c r="D5" s="41"/>
      <c r="E5" s="41"/>
      <c r="F5" s="41"/>
      <c r="G5" s="41"/>
      <c r="H5" s="41"/>
      <c r="I5" s="41"/>
      <c r="J5" s="41"/>
      <c r="K5" s="41"/>
    </row>
    <row r="6" spans="1:11" x14ac:dyDescent="0.25">
      <c r="A6" s="41"/>
      <c r="B6" s="41"/>
      <c r="C6" s="41"/>
      <c r="D6" s="41"/>
      <c r="E6" s="41"/>
      <c r="F6" s="41"/>
      <c r="G6" s="41"/>
      <c r="H6" s="41"/>
      <c r="I6" s="41"/>
      <c r="J6" s="41"/>
      <c r="K6" s="41"/>
    </row>
    <row r="7" spans="1:11" x14ac:dyDescent="0.25">
      <c r="A7" s="41"/>
      <c r="B7" s="41"/>
      <c r="C7" s="41"/>
      <c r="D7" s="41"/>
      <c r="E7" s="41"/>
      <c r="F7" s="41"/>
      <c r="G7" s="41"/>
      <c r="H7" s="41"/>
      <c r="I7" s="41"/>
      <c r="J7" s="41"/>
      <c r="K7" s="41"/>
    </row>
    <row r="8" spans="1:11" x14ac:dyDescent="0.25">
      <c r="A8" s="41"/>
      <c r="B8" s="41"/>
      <c r="C8" s="41"/>
      <c r="D8" s="41"/>
      <c r="E8" s="41"/>
      <c r="F8" s="41"/>
      <c r="G8" s="41"/>
      <c r="H8" s="41"/>
      <c r="I8" s="41"/>
      <c r="J8" s="41"/>
      <c r="K8" s="41"/>
    </row>
    <row r="9" spans="1:11" x14ac:dyDescent="0.25">
      <c r="A9" s="41"/>
      <c r="B9" s="41"/>
      <c r="C9" s="41"/>
      <c r="D9" s="41"/>
      <c r="E9" s="41"/>
      <c r="F9" s="41"/>
      <c r="G9" s="41"/>
      <c r="H9" s="41"/>
      <c r="I9" s="41"/>
      <c r="J9" s="41"/>
      <c r="K9" s="41"/>
    </row>
    <row r="10" spans="1:11" ht="45.95" customHeight="1" x14ac:dyDescent="0.25">
      <c r="A10" s="41"/>
      <c r="B10" s="41"/>
      <c r="C10" s="41"/>
      <c r="D10" s="41"/>
      <c r="E10" s="41"/>
      <c r="F10" s="41"/>
      <c r="G10" s="41"/>
      <c r="H10" s="41"/>
      <c r="I10" s="41"/>
      <c r="J10" s="41"/>
      <c r="K10" s="41"/>
    </row>
  </sheetData>
  <mergeCells count="1">
    <mergeCell ref="A1:K1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49"/>
  <sheetViews>
    <sheetView tabSelected="1" topLeftCell="A22" workbookViewId="0">
      <selection activeCell="E22" sqref="E22"/>
    </sheetView>
  </sheetViews>
  <sheetFormatPr defaultRowHeight="15" x14ac:dyDescent="0.25"/>
  <cols>
    <col min="1" max="1" width="31.5703125" customWidth="1"/>
    <col min="2" max="2" width="23.5703125" customWidth="1"/>
    <col min="3" max="3" width="15.5703125" customWidth="1"/>
    <col min="4" max="4" width="35.7109375" customWidth="1"/>
    <col min="5" max="5" width="14.5703125" customWidth="1"/>
    <col min="6" max="6" width="21.28515625" customWidth="1"/>
    <col min="7" max="7" width="16" customWidth="1"/>
    <col min="9" max="11" width="12" bestFit="1" customWidth="1"/>
  </cols>
  <sheetData>
    <row r="1" spans="1:7" ht="18.75" x14ac:dyDescent="0.3">
      <c r="A1" s="39" t="s">
        <v>3</v>
      </c>
      <c r="B1" s="39"/>
      <c r="C1" s="39"/>
      <c r="D1" s="39"/>
      <c r="E1" s="39"/>
      <c r="F1" s="39"/>
      <c r="G1" s="39"/>
    </row>
    <row r="2" spans="1:7" x14ac:dyDescent="0.25">
      <c r="A2" s="24"/>
      <c r="B2" s="24"/>
      <c r="C2" s="24"/>
      <c r="D2" s="24"/>
      <c r="E2" s="24"/>
      <c r="F2" s="24"/>
    </row>
    <row r="3" spans="1:7" x14ac:dyDescent="0.25">
      <c r="A3" s="6" t="s">
        <v>61</v>
      </c>
    </row>
    <row r="5" spans="1:7" ht="90" x14ac:dyDescent="0.25">
      <c r="A5" s="8" t="s">
        <v>4</v>
      </c>
      <c r="B5" s="8" t="s">
        <v>5</v>
      </c>
      <c r="C5" s="8" t="s">
        <v>67</v>
      </c>
      <c r="D5" s="8" t="s">
        <v>62</v>
      </c>
      <c r="E5" s="8" t="s">
        <v>68</v>
      </c>
      <c r="F5" s="8" t="s">
        <v>58</v>
      </c>
      <c r="G5" s="8" t="s">
        <v>57</v>
      </c>
    </row>
    <row r="6" spans="1:7" x14ac:dyDescent="0.25">
      <c r="A6" s="15" t="s">
        <v>38</v>
      </c>
      <c r="B6" s="8" t="s">
        <v>53</v>
      </c>
      <c r="C6" s="29"/>
      <c r="D6" s="16">
        <f>32390.2/12*13</f>
        <v>35089.383333333331</v>
      </c>
      <c r="E6" s="19"/>
      <c r="F6" s="16">
        <f t="shared" ref="F6:F12" si="0">23212.35/12*13</f>
        <v>25146.712499999998</v>
      </c>
      <c r="G6" s="3">
        <f t="shared" ref="G6:G32" si="1">C6*D6/12+E6*F6/12</f>
        <v>0</v>
      </c>
    </row>
    <row r="7" spans="1:7" x14ac:dyDescent="0.25">
      <c r="A7" s="17" t="s">
        <v>26</v>
      </c>
      <c r="B7" s="8" t="s">
        <v>53</v>
      </c>
      <c r="C7" s="29"/>
      <c r="D7" s="3">
        <f>30830.2/12*13</f>
        <v>33399.383333333331</v>
      </c>
      <c r="E7" s="30"/>
      <c r="F7" s="16">
        <f t="shared" si="0"/>
        <v>25146.712499999998</v>
      </c>
      <c r="G7" s="3">
        <f t="shared" si="1"/>
        <v>0</v>
      </c>
    </row>
    <row r="8" spans="1:7" x14ac:dyDescent="0.25">
      <c r="A8" s="17" t="s">
        <v>27</v>
      </c>
      <c r="B8" s="8" t="s">
        <v>53</v>
      </c>
      <c r="C8" s="18"/>
      <c r="D8" s="3">
        <f>28839.46/12*13</f>
        <v>31242.748333333333</v>
      </c>
      <c r="E8" s="7"/>
      <c r="F8" s="16">
        <f t="shared" si="0"/>
        <v>25146.712499999998</v>
      </c>
      <c r="G8" s="3">
        <f t="shared" si="1"/>
        <v>0</v>
      </c>
    </row>
    <row r="9" spans="1:7" x14ac:dyDescent="0.25">
      <c r="A9" s="17" t="s">
        <v>28</v>
      </c>
      <c r="B9" s="8" t="s">
        <v>53</v>
      </c>
      <c r="C9" s="18"/>
      <c r="D9" s="3">
        <f>27650.68/12*13</f>
        <v>29954.903333333335</v>
      </c>
      <c r="E9" s="18"/>
      <c r="F9" s="16">
        <f t="shared" si="0"/>
        <v>25146.712499999998</v>
      </c>
      <c r="G9" s="3">
        <f t="shared" si="1"/>
        <v>0</v>
      </c>
    </row>
    <row r="10" spans="1:7" x14ac:dyDescent="0.25">
      <c r="A10" s="17" t="s">
        <v>29</v>
      </c>
      <c r="B10" s="8" t="s">
        <v>53</v>
      </c>
      <c r="C10" s="18"/>
      <c r="D10" s="3">
        <f>26553.7/12*13</f>
        <v>28766.508333333335</v>
      </c>
      <c r="E10" s="18"/>
      <c r="F10" s="16">
        <f t="shared" si="0"/>
        <v>25146.712499999998</v>
      </c>
      <c r="G10" s="3">
        <f t="shared" si="1"/>
        <v>0</v>
      </c>
    </row>
    <row r="11" spans="1:7" x14ac:dyDescent="0.25">
      <c r="A11" s="17" t="s">
        <v>30</v>
      </c>
      <c r="B11" s="8" t="s">
        <v>53</v>
      </c>
      <c r="C11" s="18"/>
      <c r="D11" s="3">
        <f>24307.97/12*13</f>
        <v>26333.634166666667</v>
      </c>
      <c r="E11" s="18"/>
      <c r="F11" s="16">
        <f t="shared" si="0"/>
        <v>25146.712499999998</v>
      </c>
      <c r="G11" s="3">
        <f t="shared" si="1"/>
        <v>0</v>
      </c>
    </row>
    <row r="12" spans="1:7" x14ac:dyDescent="0.25">
      <c r="A12" s="17" t="s">
        <v>31</v>
      </c>
      <c r="B12" s="8" t="s">
        <v>53</v>
      </c>
      <c r="C12" s="18"/>
      <c r="D12" s="3">
        <f>23212.35/12*13</f>
        <v>25146.712499999998</v>
      </c>
      <c r="E12" s="18"/>
      <c r="F12" s="16">
        <f t="shared" si="0"/>
        <v>25146.712499999998</v>
      </c>
      <c r="G12" s="3">
        <f t="shared" si="1"/>
        <v>0</v>
      </c>
    </row>
    <row r="13" spans="1:7" x14ac:dyDescent="0.25">
      <c r="A13" s="17" t="s">
        <v>32</v>
      </c>
      <c r="B13" s="8" t="s">
        <v>54</v>
      </c>
      <c r="C13" s="36"/>
      <c r="D13" s="3">
        <f>24655/12*13</f>
        <v>26709.583333333336</v>
      </c>
      <c r="E13" s="18"/>
      <c r="F13" s="3">
        <f t="shared" ref="F13:F18" si="2">21392.87/12*13</f>
        <v>23175.609166666665</v>
      </c>
      <c r="G13" s="3">
        <f t="shared" si="1"/>
        <v>0</v>
      </c>
    </row>
    <row r="14" spans="1:7" x14ac:dyDescent="0.25">
      <c r="A14" s="17" t="s">
        <v>33</v>
      </c>
      <c r="B14" s="8" t="s">
        <v>54</v>
      </c>
      <c r="C14" s="18"/>
      <c r="D14" s="3">
        <f>23989.8/12*13</f>
        <v>25988.949999999997</v>
      </c>
      <c r="E14" s="18"/>
      <c r="F14" s="3">
        <f t="shared" si="2"/>
        <v>23175.609166666665</v>
      </c>
      <c r="G14" s="3">
        <f t="shared" si="1"/>
        <v>0</v>
      </c>
    </row>
    <row r="15" spans="1:7" x14ac:dyDescent="0.25">
      <c r="A15" s="17" t="s">
        <v>34</v>
      </c>
      <c r="B15" s="8" t="s">
        <v>54</v>
      </c>
      <c r="C15" s="18"/>
      <c r="D15" s="3">
        <f>23151.11/12*13</f>
        <v>25080.369166666667</v>
      </c>
      <c r="E15" s="18"/>
      <c r="F15" s="3">
        <f t="shared" si="2"/>
        <v>23175.609166666665</v>
      </c>
      <c r="G15" s="3">
        <f t="shared" si="1"/>
        <v>0</v>
      </c>
    </row>
    <row r="16" spans="1:7" x14ac:dyDescent="0.25">
      <c r="A16" s="17" t="s">
        <v>35</v>
      </c>
      <c r="B16" s="8" t="s">
        <v>54</v>
      </c>
      <c r="C16" s="18">
        <v>3</v>
      </c>
      <c r="D16" s="3">
        <f>22469.78/12*13</f>
        <v>24342.261666666665</v>
      </c>
      <c r="E16" s="18">
        <v>9</v>
      </c>
      <c r="F16" s="3">
        <f t="shared" si="2"/>
        <v>23175.609166666665</v>
      </c>
      <c r="G16" s="3">
        <f t="shared" si="1"/>
        <v>23467.272291666668</v>
      </c>
    </row>
    <row r="17" spans="1:7" x14ac:dyDescent="0.25">
      <c r="A17" s="17" t="s">
        <v>36</v>
      </c>
      <c r="B17" s="8" t="s">
        <v>54</v>
      </c>
      <c r="C17" s="18"/>
      <c r="D17" s="3">
        <f>21886.58/12*13</f>
        <v>23710.46166666667</v>
      </c>
      <c r="E17" s="18"/>
      <c r="F17" s="3">
        <f t="shared" si="2"/>
        <v>23175.609166666665</v>
      </c>
      <c r="G17" s="3">
        <f t="shared" si="1"/>
        <v>0</v>
      </c>
    </row>
    <row r="18" spans="1:7" x14ac:dyDescent="0.25">
      <c r="A18" s="17" t="s">
        <v>37</v>
      </c>
      <c r="B18" s="8" t="s">
        <v>54</v>
      </c>
      <c r="C18" s="18"/>
      <c r="D18" s="3">
        <f>21392.87/12*13</f>
        <v>23175.609166666665</v>
      </c>
      <c r="E18" s="18"/>
      <c r="F18" s="3">
        <f t="shared" si="2"/>
        <v>23175.609166666665</v>
      </c>
      <c r="G18" s="3">
        <f t="shared" si="1"/>
        <v>0</v>
      </c>
    </row>
    <row r="19" spans="1:7" x14ac:dyDescent="0.25">
      <c r="A19" s="17" t="s">
        <v>39</v>
      </c>
      <c r="B19" s="8" t="s">
        <v>55</v>
      </c>
      <c r="C19" s="18"/>
      <c r="D19" s="3">
        <f>22322.36/12*13</f>
        <v>24182.556666666667</v>
      </c>
      <c r="E19" s="18"/>
      <c r="F19" s="3">
        <f t="shared" ref="F19:F26" si="3">19034.51/12*13</f>
        <v>20620.719166666666</v>
      </c>
      <c r="G19" s="3">
        <f t="shared" si="1"/>
        <v>0</v>
      </c>
    </row>
    <row r="20" spans="1:7" x14ac:dyDescent="0.25">
      <c r="A20" s="17" t="s">
        <v>40</v>
      </c>
      <c r="B20" s="8" t="s">
        <v>55</v>
      </c>
      <c r="C20" s="18"/>
      <c r="D20" s="3">
        <f>21844.36/12*13</f>
        <v>23664.723333333335</v>
      </c>
      <c r="E20" s="18"/>
      <c r="F20" s="3">
        <f t="shared" si="3"/>
        <v>20620.719166666666</v>
      </c>
      <c r="G20" s="3">
        <f t="shared" si="1"/>
        <v>0</v>
      </c>
    </row>
    <row r="21" spans="1:7" x14ac:dyDescent="0.25">
      <c r="A21" s="17" t="s">
        <v>41</v>
      </c>
      <c r="B21" s="8" t="s">
        <v>55</v>
      </c>
      <c r="C21" s="18"/>
      <c r="D21" s="3">
        <f>21055.9/12*13</f>
        <v>22810.558333333334</v>
      </c>
      <c r="E21" s="18"/>
      <c r="F21" s="3">
        <f t="shared" si="3"/>
        <v>20620.719166666666</v>
      </c>
      <c r="G21" s="3">
        <f t="shared" si="1"/>
        <v>0</v>
      </c>
    </row>
    <row r="22" spans="1:7" x14ac:dyDescent="0.25">
      <c r="A22" s="17" t="s">
        <v>42</v>
      </c>
      <c r="B22" s="8" t="s">
        <v>55</v>
      </c>
      <c r="C22" s="18">
        <f>3*2</f>
        <v>6</v>
      </c>
      <c r="D22" s="3">
        <f>20692.31/12*13</f>
        <v>22416.66916666667</v>
      </c>
      <c r="E22" s="18">
        <f>9*2</f>
        <v>18</v>
      </c>
      <c r="F22" s="3">
        <f t="shared" si="3"/>
        <v>20620.719166666666</v>
      </c>
      <c r="G22" s="3">
        <f t="shared" si="1"/>
        <v>42139.413333333338</v>
      </c>
    </row>
    <row r="23" spans="1:7" x14ac:dyDescent="0.25">
      <c r="A23" s="17" t="s">
        <v>43</v>
      </c>
      <c r="B23" s="8" t="s">
        <v>55</v>
      </c>
      <c r="C23" s="18"/>
      <c r="D23" s="3">
        <f>20364.41/12*13</f>
        <v>22061.444166666664</v>
      </c>
      <c r="E23" s="7"/>
      <c r="F23" s="3">
        <f t="shared" si="3"/>
        <v>20620.719166666666</v>
      </c>
      <c r="G23" s="3">
        <f t="shared" si="1"/>
        <v>0</v>
      </c>
    </row>
    <row r="24" spans="1:7" x14ac:dyDescent="0.25">
      <c r="A24" s="17" t="s">
        <v>44</v>
      </c>
      <c r="B24" s="8" t="s">
        <v>55</v>
      </c>
      <c r="C24" s="18"/>
      <c r="D24" s="3">
        <f>20072.88/12*13</f>
        <v>21745.62</v>
      </c>
      <c r="E24" s="7"/>
      <c r="F24" s="3">
        <f t="shared" si="3"/>
        <v>20620.719166666666</v>
      </c>
      <c r="G24" s="3">
        <f t="shared" si="1"/>
        <v>0</v>
      </c>
    </row>
    <row r="25" spans="1:7" x14ac:dyDescent="0.25">
      <c r="A25" s="17" t="s">
        <v>45</v>
      </c>
      <c r="B25" s="8" t="s">
        <v>55</v>
      </c>
      <c r="C25" s="18"/>
      <c r="D25" s="3">
        <f>19335.69/12*13</f>
        <v>20946.997499999998</v>
      </c>
      <c r="E25" s="7"/>
      <c r="F25" s="3">
        <f t="shared" si="3"/>
        <v>20620.719166666666</v>
      </c>
      <c r="G25" s="3">
        <f t="shared" si="1"/>
        <v>0</v>
      </c>
    </row>
    <row r="26" spans="1:7" x14ac:dyDescent="0.25">
      <c r="A26" s="17" t="s">
        <v>46</v>
      </c>
      <c r="B26" s="8" t="s">
        <v>55</v>
      </c>
      <c r="C26" s="18"/>
      <c r="D26" s="3">
        <f>19034.51/12*13</f>
        <v>20620.719166666666</v>
      </c>
      <c r="E26" s="7"/>
      <c r="F26" s="3">
        <f t="shared" si="3"/>
        <v>20620.719166666666</v>
      </c>
      <c r="G26" s="3">
        <f t="shared" si="1"/>
        <v>0</v>
      </c>
    </row>
    <row r="27" spans="1:7" x14ac:dyDescent="0.25">
      <c r="A27" s="17" t="s">
        <v>47</v>
      </c>
      <c r="B27" s="8" t="s">
        <v>56</v>
      </c>
      <c r="C27" s="18"/>
      <c r="D27" s="3">
        <f>19676.93/12*13</f>
        <v>21316.674166666668</v>
      </c>
      <c r="E27" s="7"/>
      <c r="F27" s="3">
        <f t="shared" ref="F27:F32" si="4">18283.31/12*13</f>
        <v>19806.91916666667</v>
      </c>
      <c r="G27" s="3">
        <f t="shared" si="1"/>
        <v>0</v>
      </c>
    </row>
    <row r="28" spans="1:7" x14ac:dyDescent="0.25">
      <c r="A28" s="17" t="s">
        <v>48</v>
      </c>
      <c r="B28" s="8" t="s">
        <v>56</v>
      </c>
      <c r="C28" s="18"/>
      <c r="D28" s="3">
        <f>19344.93/12*13</f>
        <v>20957.0075</v>
      </c>
      <c r="E28" s="7"/>
      <c r="F28" s="3">
        <f t="shared" si="4"/>
        <v>19806.91916666667</v>
      </c>
      <c r="G28" s="3">
        <f t="shared" si="1"/>
        <v>0</v>
      </c>
    </row>
    <row r="29" spans="1:7" x14ac:dyDescent="0.25">
      <c r="A29" s="17" t="s">
        <v>49</v>
      </c>
      <c r="B29" s="8" t="s">
        <v>56</v>
      </c>
      <c r="C29" s="18"/>
      <c r="D29" s="3">
        <f>18968.58/12*13</f>
        <v>20549.295000000002</v>
      </c>
      <c r="E29" s="7"/>
      <c r="F29" s="3">
        <f t="shared" si="4"/>
        <v>19806.91916666667</v>
      </c>
      <c r="G29" s="3">
        <f t="shared" si="1"/>
        <v>0</v>
      </c>
    </row>
    <row r="30" spans="1:7" x14ac:dyDescent="0.25">
      <c r="A30" s="17" t="s">
        <v>50</v>
      </c>
      <c r="B30" s="8" t="s">
        <v>56</v>
      </c>
      <c r="C30" s="18"/>
      <c r="D30" s="3">
        <f>18653.28/12*13</f>
        <v>20207.719999999998</v>
      </c>
      <c r="E30" s="7"/>
      <c r="F30" s="3">
        <f t="shared" si="4"/>
        <v>19806.91916666667</v>
      </c>
      <c r="G30" s="3">
        <f t="shared" si="1"/>
        <v>0</v>
      </c>
    </row>
    <row r="31" spans="1:7" x14ac:dyDescent="0.25">
      <c r="A31" s="17" t="s">
        <v>51</v>
      </c>
      <c r="B31" s="8" t="s">
        <v>56</v>
      </c>
      <c r="C31" s="18"/>
      <c r="D31" s="3">
        <f>18283.31/12*13</f>
        <v>19806.91916666667</v>
      </c>
      <c r="E31" s="7"/>
      <c r="F31" s="3">
        <f t="shared" si="4"/>
        <v>19806.91916666667</v>
      </c>
      <c r="G31" s="3">
        <f t="shared" si="1"/>
        <v>0</v>
      </c>
    </row>
    <row r="32" spans="1:7" x14ac:dyDescent="0.25">
      <c r="A32" s="17" t="s">
        <v>52</v>
      </c>
      <c r="B32" s="8" t="s">
        <v>56</v>
      </c>
      <c r="C32" s="18"/>
      <c r="D32" s="3">
        <f>18044.37/12*13</f>
        <v>19548.067500000001</v>
      </c>
      <c r="E32" s="7"/>
      <c r="F32" s="3">
        <f t="shared" si="4"/>
        <v>19806.91916666667</v>
      </c>
      <c r="G32" s="3">
        <f t="shared" si="1"/>
        <v>0</v>
      </c>
    </row>
    <row r="33" spans="1:20" x14ac:dyDescent="0.25">
      <c r="A33" s="37" t="s">
        <v>65</v>
      </c>
      <c r="B33" s="38"/>
      <c r="C33" s="38"/>
      <c r="D33" s="38"/>
      <c r="E33" s="38"/>
      <c r="F33" s="38"/>
      <c r="G33" s="5">
        <f>SUM(G6:G32)</f>
        <v>65606.685625000013</v>
      </c>
    </row>
    <row r="34" spans="1:20" x14ac:dyDescent="0.25">
      <c r="A34" s="20" t="s">
        <v>64</v>
      </c>
      <c r="B34" s="21"/>
      <c r="D34" s="22"/>
      <c r="E34" s="23"/>
      <c r="F34" s="22"/>
      <c r="G34" s="25" t="s">
        <v>70</v>
      </c>
    </row>
    <row r="35" spans="1:20" x14ac:dyDescent="0.25">
      <c r="A35" s="10" t="s">
        <v>63</v>
      </c>
    </row>
    <row r="36" spans="1:20" x14ac:dyDescent="0.25">
      <c r="A36" s="10"/>
    </row>
    <row r="37" spans="1:20" x14ac:dyDescent="0.25">
      <c r="A37" s="26" t="s">
        <v>69</v>
      </c>
    </row>
    <row r="38" spans="1:20" x14ac:dyDescent="0.25">
      <c r="A38" s="27" t="s">
        <v>59</v>
      </c>
    </row>
    <row r="39" spans="1:20" x14ac:dyDescent="0.25">
      <c r="A39" s="28" t="s">
        <v>60</v>
      </c>
    </row>
    <row r="41" spans="1:20" x14ac:dyDescent="0.25">
      <c r="A41" s="6" t="s">
        <v>66</v>
      </c>
    </row>
    <row r="42" spans="1:20" x14ac:dyDescent="0.25">
      <c r="A42" s="6"/>
    </row>
    <row r="43" spans="1:20" ht="45" x14ac:dyDescent="0.25">
      <c r="A43" s="1" t="s">
        <v>71</v>
      </c>
      <c r="B43" s="1" t="s">
        <v>1</v>
      </c>
      <c r="D43" s="4"/>
      <c r="E43" s="4"/>
      <c r="F43" s="4"/>
      <c r="G43" s="4"/>
      <c r="H43" s="4"/>
      <c r="I43" s="4"/>
      <c r="J43" s="4"/>
      <c r="K43" s="4"/>
      <c r="L43" s="4"/>
      <c r="M43" s="4"/>
      <c r="N43" s="4"/>
      <c r="O43" s="4"/>
      <c r="P43" s="4"/>
      <c r="Q43" s="4"/>
      <c r="R43" s="4"/>
      <c r="S43" s="4"/>
      <c r="T43" s="4"/>
    </row>
    <row r="44" spans="1:20" x14ac:dyDescent="0.25">
      <c r="A44" s="3">
        <f>G33</f>
        <v>65606.685625000013</v>
      </c>
      <c r="B44" s="3">
        <f>A44/100*48</f>
        <v>31491.209100000007</v>
      </c>
      <c r="D44" s="4"/>
      <c r="E44" s="4"/>
      <c r="F44" s="4"/>
      <c r="G44" s="4"/>
      <c r="H44" s="4"/>
      <c r="I44" s="4"/>
      <c r="J44" s="4"/>
      <c r="K44" s="4"/>
      <c r="L44" s="4"/>
      <c r="M44" s="4"/>
      <c r="N44" s="4"/>
      <c r="O44" s="4"/>
      <c r="P44" s="4"/>
      <c r="Q44" s="4"/>
      <c r="R44" s="4"/>
      <c r="S44" s="4"/>
      <c r="T44" s="4"/>
    </row>
    <row r="45" spans="1:20" x14ac:dyDescent="0.25">
      <c r="A45" s="13"/>
      <c r="B45" s="31" t="s">
        <v>18</v>
      </c>
      <c r="D45" s="4"/>
      <c r="E45" s="4"/>
      <c r="F45" s="4"/>
      <c r="G45" s="4"/>
      <c r="H45" s="4"/>
      <c r="I45" s="4"/>
      <c r="J45" s="4"/>
      <c r="K45" s="4"/>
      <c r="L45" s="4"/>
      <c r="M45" s="4"/>
      <c r="N45" s="4"/>
      <c r="O45" s="4"/>
      <c r="P45" s="4"/>
      <c r="Q45" s="4"/>
      <c r="R45" s="4"/>
      <c r="S45" s="4"/>
      <c r="T45" s="4"/>
    </row>
    <row r="47" spans="1:20" ht="60" x14ac:dyDescent="0.25">
      <c r="A47" s="1" t="s">
        <v>75</v>
      </c>
      <c r="B47" s="1" t="s">
        <v>76</v>
      </c>
      <c r="C47" s="2" t="s">
        <v>0</v>
      </c>
      <c r="D47" s="1" t="s">
        <v>2</v>
      </c>
    </row>
    <row r="48" spans="1:20" x14ac:dyDescent="0.25">
      <c r="A48" s="7">
        <v>9407</v>
      </c>
      <c r="B48" s="7">
        <v>0</v>
      </c>
      <c r="C48" s="3">
        <f>SUM(A48+B48)</f>
        <v>9407</v>
      </c>
      <c r="D48" s="5">
        <f>B44-C48</f>
        <v>22084.209100000007</v>
      </c>
    </row>
    <row r="49" spans="1:4" x14ac:dyDescent="0.25">
      <c r="A49" s="13"/>
      <c r="B49" s="13"/>
      <c r="C49" s="31" t="s">
        <v>18</v>
      </c>
      <c r="D49" s="31" t="s">
        <v>18</v>
      </c>
    </row>
  </sheetData>
  <mergeCells count="2">
    <mergeCell ref="A33:F33"/>
    <mergeCell ref="A1:G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9"/>
  <sheetViews>
    <sheetView topLeftCell="A13" workbookViewId="0">
      <selection activeCell="C19" sqref="C19"/>
    </sheetView>
  </sheetViews>
  <sheetFormatPr defaultRowHeight="15" x14ac:dyDescent="0.25"/>
  <cols>
    <col min="1" max="1" width="25.140625" customWidth="1"/>
    <col min="2" max="2" width="25.42578125" customWidth="1"/>
    <col min="3" max="3" width="27.140625" customWidth="1"/>
    <col min="4" max="4" width="31.140625" customWidth="1"/>
    <col min="5" max="5" width="20.140625" customWidth="1"/>
  </cols>
  <sheetData>
    <row r="1" spans="1:5" ht="18.75" x14ac:dyDescent="0.3">
      <c r="A1" s="39" t="s">
        <v>73</v>
      </c>
      <c r="B1" s="39"/>
      <c r="C1" s="39"/>
      <c r="D1" s="39"/>
      <c r="E1" s="39"/>
    </row>
    <row r="2" spans="1:5" x14ac:dyDescent="0.25">
      <c r="A2" s="6"/>
    </row>
    <row r="3" spans="1:5" x14ac:dyDescent="0.25">
      <c r="A3" s="12" t="s">
        <v>16</v>
      </c>
    </row>
    <row r="5" spans="1:5" x14ac:dyDescent="0.25">
      <c r="A5" s="42" t="s">
        <v>6</v>
      </c>
      <c r="B5" s="42" t="s">
        <v>7</v>
      </c>
      <c r="C5" s="42" t="s">
        <v>9</v>
      </c>
      <c r="D5" s="42"/>
      <c r="E5" s="42"/>
    </row>
    <row r="6" spans="1:5" ht="94.5" customHeight="1" x14ac:dyDescent="0.25">
      <c r="A6" s="42"/>
      <c r="B6" s="42"/>
      <c r="C6" s="1" t="s">
        <v>8</v>
      </c>
      <c r="D6" s="2" t="s">
        <v>10</v>
      </c>
      <c r="E6" s="1" t="s">
        <v>15</v>
      </c>
    </row>
    <row r="7" spans="1:5" x14ac:dyDescent="0.25">
      <c r="A7" s="34"/>
      <c r="B7" s="35"/>
      <c r="C7" s="35"/>
      <c r="D7" s="35"/>
      <c r="E7" s="3">
        <f>C7+C7*D7/100</f>
        <v>0</v>
      </c>
    </row>
    <row r="8" spans="1:5" ht="45" x14ac:dyDescent="0.25">
      <c r="A8" s="32" t="s">
        <v>11</v>
      </c>
      <c r="B8" s="32" t="s">
        <v>12</v>
      </c>
      <c r="C8" s="21" t="s">
        <v>72</v>
      </c>
      <c r="D8" s="33"/>
      <c r="E8" s="32" t="s">
        <v>13</v>
      </c>
    </row>
    <row r="10" spans="1:5" x14ac:dyDescent="0.25">
      <c r="A10" s="6" t="s">
        <v>14</v>
      </c>
      <c r="C10" s="11">
        <f>B7+E7</f>
        <v>0</v>
      </c>
    </row>
    <row r="12" spans="1:5" x14ac:dyDescent="0.25">
      <c r="A12" s="12" t="s">
        <v>17</v>
      </c>
    </row>
    <row r="14" spans="1:5" ht="75" customHeight="1" x14ac:dyDescent="0.25">
      <c r="A14" s="43" t="s">
        <v>19</v>
      </c>
      <c r="B14" s="42" t="s">
        <v>21</v>
      </c>
      <c r="C14" s="42"/>
      <c r="D14" s="42"/>
      <c r="E14" s="42"/>
    </row>
    <row r="15" spans="1:5" ht="90" x14ac:dyDescent="0.25">
      <c r="A15" s="44"/>
      <c r="B15" s="1" t="s">
        <v>8</v>
      </c>
      <c r="C15" s="1" t="s">
        <v>10</v>
      </c>
      <c r="D15" s="2" t="s">
        <v>22</v>
      </c>
      <c r="E15" s="1" t="s">
        <v>23</v>
      </c>
    </row>
    <row r="16" spans="1:5" x14ac:dyDescent="0.25">
      <c r="A16" s="35"/>
      <c r="B16" s="35"/>
      <c r="C16" s="35"/>
      <c r="D16" s="9"/>
      <c r="E16" s="3">
        <f>B16+B16*(C16+D16)/100</f>
        <v>0</v>
      </c>
    </row>
    <row r="17" spans="1:5" ht="45" x14ac:dyDescent="0.25">
      <c r="A17" s="32" t="s">
        <v>20</v>
      </c>
      <c r="B17" s="21" t="s">
        <v>72</v>
      </c>
      <c r="C17" s="33"/>
      <c r="D17" s="14"/>
      <c r="E17" s="32" t="s">
        <v>24</v>
      </c>
    </row>
    <row r="19" spans="1:5" x14ac:dyDescent="0.25">
      <c r="A19" s="6" t="s">
        <v>25</v>
      </c>
    </row>
  </sheetData>
  <mergeCells count="6">
    <mergeCell ref="A5:A6"/>
    <mergeCell ref="B5:B6"/>
    <mergeCell ref="C5:E5"/>
    <mergeCell ref="A1:E1"/>
    <mergeCell ref="A14:A15"/>
    <mergeCell ref="B14:E1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art. 14</vt:lpstr>
      <vt:lpstr>CALCOLO INCREMENTO</vt:lpstr>
      <vt:lpstr>CONTROLLI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2025-07-18T07:00:35Z</dcterms:created>
  <dcterms:modified xsi:type="dcterms:W3CDTF">2026-08-26T10:22:25Z</dcterms:modified>
</cp:coreProperties>
</file>